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3090" windowWidth="15120" windowHeight="4740" activeTab="0"/>
  </bookViews>
  <sheets>
    <sheet name="МСУ" sheetId="1" r:id="rId1"/>
  </sheets>
  <definedNames>
    <definedName name="_Otchet_Period_Source__AT_ObjectName">#REF!</definedName>
    <definedName name="_xlnm.Print_Titles" localSheetId="0">'МСУ'!$10:$13</definedName>
    <definedName name="_xlnm.Print_Area" localSheetId="0">'МСУ'!$A$1:$M$531</definedName>
  </definedNames>
  <calcPr fullCalcOnLoad="1"/>
</workbook>
</file>

<file path=xl/sharedStrings.xml><?xml version="1.0" encoding="utf-8"?>
<sst xmlns="http://schemas.openxmlformats.org/spreadsheetml/2006/main" count="2453" uniqueCount="1051">
  <si>
    <t>от 28.04.2012 № 226</t>
  </si>
  <si>
    <t>Начальник управления</t>
  </si>
  <si>
    <t>(подпись)</t>
  </si>
  <si>
    <t>(расшифровка подписи)</t>
  </si>
  <si>
    <t>Кузнецова Л.П.</t>
  </si>
  <si>
    <t>УРИ</t>
  </si>
  <si>
    <t>0111</t>
  </si>
  <si>
    <t>870</t>
  </si>
  <si>
    <t xml:space="preserve">по нормативным правовым актам </t>
  </si>
  <si>
    <t>0412</t>
  </si>
  <si>
    <t>0113</t>
  </si>
  <si>
    <t>0409</t>
  </si>
  <si>
    <t>1003</t>
  </si>
  <si>
    <t>0709</t>
  </si>
  <si>
    <t>Нормативное правовое регулирование, определяющее финансовое обеспечение и порядок расходования средств</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</si>
  <si>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</si>
  <si>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</si>
  <si>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</si>
  <si>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гр.1</t>
  </si>
  <si>
    <t>гр.2</t>
  </si>
  <si>
    <t>гр.3</t>
  </si>
  <si>
    <t>гр.4</t>
  </si>
  <si>
    <t>гр.5</t>
  </si>
  <si>
    <t>гр.6</t>
  </si>
  <si>
    <t>гр.7</t>
  </si>
  <si>
    <t>гр.8</t>
  </si>
  <si>
    <t>гр.9</t>
  </si>
  <si>
    <t>гр.10</t>
  </si>
  <si>
    <t>гр.11</t>
  </si>
  <si>
    <t>гр.12</t>
  </si>
  <si>
    <t>Наименование главного распорядителя бюджетных средств</t>
  </si>
  <si>
    <t>Объем средств на исполнение расходного обязательства (тыс.рублей)</t>
  </si>
  <si>
    <t xml:space="preserve">финансовый год +1 </t>
  </si>
  <si>
    <t xml:space="preserve">финансовый год +2 </t>
  </si>
  <si>
    <t xml:space="preserve">Наименование полномочия расходного обязательства </t>
  </si>
  <si>
    <t>Код  бюджетной классификации (Раздел, Подраздел)</t>
  </si>
  <si>
    <t>Код  бюджетной классификации (Код вида расходов)</t>
  </si>
  <si>
    <t>Код  бюджетной классификации (Код целевой статьи расходов)</t>
  </si>
  <si>
    <t>Приложение 1</t>
  </si>
  <si>
    <t>к Порядку ведения реестра</t>
  </si>
  <si>
    <t>утвержденного постановлением администрации</t>
  </si>
  <si>
    <t>Осинского муниципального района</t>
  </si>
  <si>
    <t xml:space="preserve">расходных обязательств </t>
  </si>
  <si>
    <t>120</t>
  </si>
  <si>
    <t>240</t>
  </si>
  <si>
    <t>850</t>
  </si>
  <si>
    <t>810</t>
  </si>
  <si>
    <t>0405</t>
  </si>
  <si>
    <t>610</t>
  </si>
  <si>
    <t>0707</t>
  </si>
  <si>
    <t>п.1</t>
  </si>
  <si>
    <t>п.3</t>
  </si>
  <si>
    <t>первоначальный план</t>
  </si>
  <si>
    <t>0408</t>
  </si>
  <si>
    <t>Информационное обеспечение малого и среднего предпринимательства</t>
  </si>
  <si>
    <t>Создание механизмов, обеспечивающих повышение инвестиционной привлекательности района</t>
  </si>
  <si>
    <t>Стимулирование сельскохозяйственных товаропроизводителей к постоянной инновационной и инвестиционной деятельности</t>
  </si>
  <si>
    <t>Вовлечение в оборот неиспользуемых земель сельскохозяйственного назначения</t>
  </si>
  <si>
    <t>Повышение безопасности дорожных условий автомобильных дорог</t>
  </si>
  <si>
    <t>Снижение рисков и смягчение последствий ЧС природного и техногенного характера</t>
  </si>
  <si>
    <t xml:space="preserve">Создание условий для привлечения педагогических работников в систему образования </t>
  </si>
  <si>
    <t>Подпрограмма "Создание условий для занятий физической культурой и спортом лиц с ограниченными возможностями здоровья"</t>
  </si>
  <si>
    <t>630</t>
  </si>
  <si>
    <t>0510000000</t>
  </si>
  <si>
    <t>0500000000</t>
  </si>
  <si>
    <t>0800000000</t>
  </si>
  <si>
    <t>0700000000</t>
  </si>
  <si>
    <t>0710000000</t>
  </si>
  <si>
    <t>0720000000</t>
  </si>
  <si>
    <t>0730000000</t>
  </si>
  <si>
    <t>Обеспечение проведения физкультурно-массовых и спортивных мероприятий для лиц с ограниченными возможностями</t>
  </si>
  <si>
    <t>Участие команд и отдельных спортсменов с ограниченными возможностями здоровья в краевых, всероссийских и международных соревнованиях</t>
  </si>
  <si>
    <t>0100000000</t>
  </si>
  <si>
    <t>0200000000</t>
  </si>
  <si>
    <t>0300000000</t>
  </si>
  <si>
    <t>0610000000</t>
  </si>
  <si>
    <t>0620000000</t>
  </si>
  <si>
    <t>0600000000</t>
  </si>
  <si>
    <t>2100000000</t>
  </si>
  <si>
    <t>Развитие кадрового потенциала в сельском хозяйсве</t>
  </si>
  <si>
    <t>1000000000</t>
  </si>
  <si>
    <t>1010000000</t>
  </si>
  <si>
    <t>1020000000</t>
  </si>
  <si>
    <t>0702</t>
  </si>
  <si>
    <t>0400000000</t>
  </si>
  <si>
    <t>0701</t>
  </si>
  <si>
    <t>Компенсация за жилье детям, проживающим в сельской местности и обучающимся на 3-й ступени обучения</t>
  </si>
  <si>
    <t xml:space="preserve">Оганизациия и осуществление перевозок обучающихся, проживающих на территории района, иными организациями </t>
  </si>
  <si>
    <t>Осуществление перевозок обучающихся, проживающих на территории района</t>
  </si>
  <si>
    <t>Подпрограмма "Дополнительное образование и воспитание детей"</t>
  </si>
  <si>
    <t>Совершенствование работы с одаренными детьми</t>
  </si>
  <si>
    <t xml:space="preserve">Приведение в нормативное состояние образовательных организаций </t>
  </si>
  <si>
    <t>Обеспечение бесперебойного функционирования зданий (сооружений) муниципальных организаций</t>
  </si>
  <si>
    <t xml:space="preserve">Обновление книжных фондов. Обеспечение модельного стандарта библиотеки </t>
  </si>
  <si>
    <t>0801</t>
  </si>
  <si>
    <t>Организация отдыха детей в каникулярное время</t>
  </si>
  <si>
    <t>Реализация основных общеобразовательных программ среднего общего образования</t>
  </si>
  <si>
    <t>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</si>
  <si>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0630000000</t>
  </si>
  <si>
    <t>раздел 3 п.3.3.; п.3</t>
  </si>
  <si>
    <t>0430000000</t>
  </si>
  <si>
    <t>0420000000</t>
  </si>
  <si>
    <t>0410000000</t>
  </si>
  <si>
    <t>1200000000</t>
  </si>
  <si>
    <t>п.2</t>
  </si>
  <si>
    <t xml:space="preserve">Информирование населения о деятельности органов местного самоуправления посредством радио, телевидения, печатных изданий </t>
  </si>
  <si>
    <t>01.01.2015-не ограничен</t>
  </si>
  <si>
    <t>01.01.2013-бессрочно; 01.01.2015-не ограничен</t>
  </si>
  <si>
    <t>24.05.2016-бессрочно</t>
  </si>
  <si>
    <t xml:space="preserve">Решение Земского собрания ОМР от 24.05.2016 № 521 "Об утверждении Положения об организации отдыха детей в каникулярное время в муниципальных образовательных организациях Осинского муниципального района" </t>
  </si>
  <si>
    <t>п.5.1</t>
  </si>
  <si>
    <t>п.1.2.</t>
  </si>
  <si>
    <t>0703</t>
  </si>
  <si>
    <t>Информирование населения об организации перевозок пассажиров автомобильным транспортом</t>
  </si>
  <si>
    <t>350</t>
  </si>
  <si>
    <t>Информационное и организационное сопровождение сельскохозяйственных товаропроизводителей</t>
  </si>
  <si>
    <t>1001</t>
  </si>
  <si>
    <t>310</t>
  </si>
  <si>
    <t>0314</t>
  </si>
  <si>
    <t>проведение проверок и аудита подведомственных организаций</t>
  </si>
  <si>
    <t>статья 5</t>
  </si>
  <si>
    <t>Реализациия основных общеобразовательных программ основного общего образования</t>
  </si>
  <si>
    <t>Присмотр и уход (город)</t>
  </si>
  <si>
    <t>Присмотр и уход (село)</t>
  </si>
  <si>
    <t>Здоровьесбережение работников сферы образования как условие качества обучения</t>
  </si>
  <si>
    <t>раздел 3 п.3.3;                   п.2</t>
  </si>
  <si>
    <t>раздел 3</t>
  </si>
  <si>
    <t>п.2;                           в целом</t>
  </si>
  <si>
    <t>п.3;                                   в целом</t>
  </si>
  <si>
    <t>п.3;                           в целом</t>
  </si>
  <si>
    <t>Исполнители: Бочкарева Е.П., Красильникова Т.А., Шеина Е.И.</t>
  </si>
  <si>
    <t>Здоровьесбережение работников сферы искусств</t>
  </si>
  <si>
    <t>01.01.2019-бессрочно</t>
  </si>
  <si>
    <t xml:space="preserve">опубликование сообщений в СМИ </t>
  </si>
  <si>
    <t>410</t>
  </si>
  <si>
    <t>п. 2.16; в целом</t>
  </si>
  <si>
    <t>в целом                               п.1</t>
  </si>
  <si>
    <t>01.01.2018-бессрочно 01.01.2019-31.12.2021</t>
  </si>
  <si>
    <t>Муниципальная программа "Совершенствование муниципальной службы в Осинском городском округе"</t>
  </si>
  <si>
    <t>0300200001</t>
  </si>
  <si>
    <t>Муниципальная программа "Улучшение гражданского единства и гармонизации межнациональных отношений на территории Осинского городского округа"</t>
  </si>
  <si>
    <t>1300100010</t>
  </si>
  <si>
    <t>Профилактика межэтнических конфликтов на территории округа</t>
  </si>
  <si>
    <t>Поддержание стабильной общественно-политической обстановки, общественных инициатив и целевых проектов общественных объединений, некоммерческих организаций, направленных на гармонизацию межнациональных отношений в округе</t>
  </si>
  <si>
    <t>1300100020</t>
  </si>
  <si>
    <t>1300100030</t>
  </si>
  <si>
    <t>Формирование позитивного имиджа округа, комфортного для проживания представителей любой национальности и конфессии</t>
  </si>
  <si>
    <t>Реализация мероприятий по укреплению единства российской нации и этнокультурному развитию народов России</t>
  </si>
  <si>
    <t>1300100040</t>
  </si>
  <si>
    <t>2100000001</t>
  </si>
  <si>
    <t>0320100025</t>
  </si>
  <si>
    <t>Муниципальная программа «Обеспечение безопасности жизнедеятельности населения и территории Осинского городского округа»</t>
  </si>
  <si>
    <t>Подпрограмма "Предупреждение и защита населения от чрезвычайных ситуаций; территориальная и гражданская оборона, мобилизационная готовность; обеспечение первичных мер пожарной безопасности и безопасности на водных объектах в Осинском городском округе"</t>
  </si>
  <si>
    <t>0510100010</t>
  </si>
  <si>
    <t xml:space="preserve">Организация и осуществление мероприятий по профилактике терроризма и экстремизма, гражданской и территориальной обороне </t>
  </si>
  <si>
    <t>0510100020</t>
  </si>
  <si>
    <t>Пенсионное обеспечение за выслугу лет</t>
  </si>
  <si>
    <t>Реестр расходных обязательств Осинского городского округа Пермского края по действущим НПА</t>
  </si>
  <si>
    <t>2500</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</si>
  <si>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</si>
  <si>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</si>
  <si>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</si>
  <si>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</si>
  <si>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</si>
  <si>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</si>
  <si>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предоставление доплаты за выслугу лет к трудовой пенсии муниципальным служащим за счет средств местного бюджета</t>
  </si>
  <si>
    <t>2700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</si>
  <si>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</si>
  <si>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</si>
  <si>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2501</t>
  </si>
  <si>
    <t>2600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</si>
  <si>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</si>
  <si>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</si>
  <si>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3100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</si>
  <si>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</si>
  <si>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3101</t>
  </si>
  <si>
    <t>за счет субвенций, предоставленных из федерального бюджета, всего</t>
  </si>
  <si>
    <t>на государственную регистрацию актов гражданского состояния</t>
  </si>
  <si>
    <t>3102</t>
  </si>
  <si>
    <t>за счет субвенций, предоставленных из бюджета субъекта Российской Федерации, всего</t>
  </si>
  <si>
    <t>3200</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</si>
  <si>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</si>
  <si>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3201</t>
  </si>
  <si>
    <t>3400</t>
  </si>
  <si>
    <t>3401</t>
  </si>
  <si>
    <t>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 всего</t>
  </si>
  <si>
    <r>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t>
    </r>
    <r>
      <rPr>
        <b/>
        <sz val="11"/>
        <rFont val="Times New Roman"/>
        <family val="1"/>
      </rPr>
      <t>в городской местности</t>
    </r>
    <r>
      <rPr>
        <sz val="11"/>
        <rFont val="Times New Roman"/>
        <family val="1"/>
      </rPr>
      <t>)</t>
    </r>
  </si>
  <si>
    <t>Условно утвержденные расходы на первый и второй годы планового периода в соответствии с решением о местном бюджете</t>
  </si>
  <si>
    <t>3600</t>
  </si>
  <si>
    <t>владение, пользование и распоряжение имуществом, находящимся в муниципальной собственности городского округа</t>
  </si>
  <si>
    <t>2504</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</si>
  <si>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</si>
  <si>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</si>
  <si>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</si>
  <si>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</si>
  <si>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участие в предупреждении и ликвидации последствий чрезвычайных ситуаций в границах городского округа</t>
  </si>
  <si>
    <t>2517</t>
  </si>
  <si>
    <t>2522</t>
  </si>
  <si>
    <r>
      <t xml:space="preserve">организация предоставления общедоступного и бесплатного </t>
    </r>
    <r>
      <rPr>
        <b/>
        <sz val="11"/>
        <rFont val="Times New Roman"/>
        <family val="1"/>
      </rPr>
      <t xml:space="preserve">дошкольного образования </t>
    </r>
    <r>
      <rPr>
        <sz val="11"/>
        <rFont val="Times New Roman"/>
        <family val="1"/>
      </rPr>
      <t>(за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r>
  </si>
  <si>
    <t>2523</t>
  </si>
  <si>
    <r>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t>
    </r>
    <r>
      <rPr>
        <b/>
        <sz val="11"/>
        <rFont val="Times New Roman"/>
        <family val="1"/>
      </rPr>
      <t xml:space="preserve"> в городской местности</t>
    </r>
    <r>
      <rPr>
        <sz val="11"/>
        <rFont val="Times New Roman"/>
        <family val="1"/>
      </rPr>
      <t>)</t>
    </r>
  </si>
  <si>
    <t>2524</t>
  </si>
  <si>
    <r>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t>
    </r>
    <r>
      <rPr>
        <b/>
        <sz val="11"/>
        <rFont val="Times New Roman"/>
        <family val="1"/>
      </rPr>
      <t xml:space="preserve"> в сельской местности</t>
    </r>
    <r>
      <rPr>
        <sz val="11"/>
        <rFont val="Times New Roman"/>
        <family val="1"/>
      </rPr>
      <t>)</t>
    </r>
  </si>
  <si>
    <t>2525</t>
  </si>
  <si>
    <r>
      <t xml:space="preserve">организация предоставления </t>
    </r>
    <r>
      <rPr>
        <b/>
        <sz val="11"/>
        <rFont val="Times New Roman"/>
        <family val="1"/>
      </rPr>
      <t xml:space="preserve">дополнительного образования </t>
    </r>
    <r>
      <rPr>
        <sz val="11"/>
        <rFont val="Times New Roman"/>
        <family val="1"/>
      </rPr>
      <t>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r>
  </si>
  <si>
    <t>2526</t>
  </si>
  <si>
    <r>
      <t xml:space="preserve">осуществление в пределах своих полномочий мероприятий по обеспечению </t>
    </r>
    <r>
      <rPr>
        <b/>
        <sz val="11"/>
        <rFont val="Times New Roman"/>
        <family val="1"/>
      </rPr>
      <t>организации отдыха детей в каникулярное время</t>
    </r>
    <r>
      <rPr>
        <sz val="11"/>
        <rFont val="Times New Roman"/>
        <family val="1"/>
      </rPr>
      <t>, включая мероприятия по обеспечению безопасности их жизни и здоровья</t>
    </r>
  </si>
  <si>
    <t>2527</t>
  </si>
  <si>
    <r>
      <t xml:space="preserve">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t>
    </r>
    <r>
      <rPr>
        <b/>
        <sz val="11"/>
        <rFont val="Times New Roman"/>
        <family val="1"/>
      </rPr>
      <t>межшкольные учебные комбинаты,</t>
    </r>
    <r>
      <rPr>
        <sz val="11"/>
        <rFont val="Times New Roman"/>
        <family val="1"/>
      </rPr>
      <t xml:space="preserve"> хозяйственные эксплуатационные конторы и другие))</t>
    </r>
  </si>
  <si>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</si>
  <si>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2544</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</si>
  <si>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</si>
  <si>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</si>
  <si>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создание условий для организации досуга и обеспечения жителей городского округа услугами организаций культуры</t>
  </si>
  <si>
    <t>2531</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</si>
  <si>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</si>
  <si>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</si>
  <si>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создание условий для расширения рынка сельскохозяйственной продукции, сырья и продовольствия</t>
  </si>
  <si>
    <t>2552</t>
  </si>
  <si>
    <t>содействие развитию малого и среднего предпринимательства</t>
  </si>
  <si>
    <t>2553</t>
  </si>
  <si>
    <t>обеспечение условий для развития на территории городского округа физической культуры, школьного спорта и массового спорта</t>
  </si>
  <si>
    <t>2534</t>
  </si>
  <si>
    <t>организация и осуществление мероприятий по работе с детьми и молодежью в городском округе</t>
  </si>
  <si>
    <t>2555</t>
  </si>
  <si>
    <t>Муниципальная программа "Эффективное управление земельными ресурсами и имуществом Осинского городского округа"</t>
  </si>
  <si>
    <t>Обеспечение сохранности, содержания и управления муниципального имущества Осинского городского округа</t>
  </si>
  <si>
    <t>содержание объектов, находящихся в муниципальной собственности Осинского городского округа</t>
  </si>
  <si>
    <t>1010100101</t>
  </si>
  <si>
    <t>01.01.2020-бессрочно</t>
  </si>
  <si>
    <t>110</t>
  </si>
  <si>
    <t>1010100106</t>
  </si>
  <si>
    <t>1010100108</t>
  </si>
  <si>
    <t>консультационное и технологическое сопровождение автоматизированной программы по управлению муниципальным имуществом</t>
  </si>
  <si>
    <t>1010100110</t>
  </si>
  <si>
    <t>1010100107</t>
  </si>
  <si>
    <t>Вовлечение в оборот неиспользуемого имущества казны</t>
  </si>
  <si>
    <t>1010100200</t>
  </si>
  <si>
    <t>Вовлечение земельных участков в хозяйственный оборот</t>
  </si>
  <si>
    <t>1020100100</t>
  </si>
  <si>
    <t>Увеличение доходов от предоставления земельных участков</t>
  </si>
  <si>
    <t>1020100200</t>
  </si>
  <si>
    <t>Подпрограмма "Рациональное использование муниципального имущества Осинского городского округа"</t>
  </si>
  <si>
    <t>софинансирование инвестиционной программы в сфере теплоснабжения МУП "Тепловые сети"</t>
  </si>
  <si>
    <t>Подпрограмма "Совершенствование и развитие сети автомобильных дорог общего пользования местного значения в границах Осинского городского округа"</t>
  </si>
  <si>
    <t>Муниципальная программа "Развитие транспортной системы Осинского городского округа"</t>
  </si>
  <si>
    <t>Выполнение ремонта автомобильных дорог</t>
  </si>
  <si>
    <t xml:space="preserve">Подпрограмма "Повышение безопасности дорожного движения на автомобильных дорогах общего пользования местного значения в границах Осинского городского округа"                                                                                                                                                                               </t>
  </si>
  <si>
    <t>0620100010</t>
  </si>
  <si>
    <t>Подпрограмма "Транспортное сообщение в границах Осинского городского округа"</t>
  </si>
  <si>
    <t>Выполнение работ по перевозке пассажиров и багажа автомобильным транспортом (кроме такси) на маршрутах регулярных перевозок по регулируемым тарифам на территории Осинского городского округа</t>
  </si>
  <si>
    <t>0630100011</t>
  </si>
  <si>
    <t>0630100012</t>
  </si>
  <si>
    <t>Муниципальная программа "Развитие градостроительной деятельности  Осинского городского округа"</t>
  </si>
  <si>
    <t>Обеспечение актуальными документами территориального планирования и градостроительного зонирования</t>
  </si>
  <si>
    <t>1200100010</t>
  </si>
  <si>
    <t>Подпрограмма "Рациональное использование земельных ресурсов Осинского городского округа"</t>
  </si>
  <si>
    <t>2516</t>
  </si>
  <si>
    <t>2508</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</si>
  <si>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</si>
  <si>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Муниципальная адресная программа "Расселение граждан из многоквартирных домов, признанных аварийными до 1 января 2017г., на территории Осинского городского округа"</t>
  </si>
  <si>
    <t>1500000000</t>
  </si>
  <si>
    <t>0501</t>
  </si>
  <si>
    <t>1500100010</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</si>
  <si>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</si>
  <si>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Подпрограмма "Развитие газификации Осинского городского округа"</t>
  </si>
  <si>
    <t>Разработка проектно-сметной документации на строительство газопроводов</t>
  </si>
  <si>
    <t>Муниципальная программа "Развитие инфраструктуры Осинского городского округа"</t>
  </si>
  <si>
    <t>Строительство распределительных газопроводов</t>
  </si>
  <si>
    <t>0502</t>
  </si>
  <si>
    <t>Подпрограмма "Развитие системы водоснабжения и водоотведения Осинского городского округа"</t>
  </si>
  <si>
    <t>Разработка проектно-сметной документации на строительство водопроводных сетей</t>
  </si>
  <si>
    <t>Строительство, ремонт сетей водоснабжения и водоотведения</t>
  </si>
  <si>
    <t>Подпрограмма "Развитие системы теплоснабжения Осинского городского округа"</t>
  </si>
  <si>
    <t>Строительство, реконструкция, модернизация, ремонт системы теплоснабжения</t>
  </si>
  <si>
    <t>2538</t>
  </si>
  <si>
    <t>2539</t>
  </si>
  <si>
    <t>2541</t>
  </si>
  <si>
    <t>2542</t>
  </si>
  <si>
    <t>организация ритуальных услуг и содержание мест захоронения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</si>
  <si>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</si>
  <si>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</si>
  <si>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</si>
  <si>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Муниципальная программа "Благоустройство территории Осинского городского округа"</t>
  </si>
  <si>
    <t>0900000000</t>
  </si>
  <si>
    <t>Содержание мест общего пользования и тропиночной сети</t>
  </si>
  <si>
    <t>0900100010</t>
  </si>
  <si>
    <t>Выполнение благоустройства мест общего пользования</t>
  </si>
  <si>
    <t>0900100020</t>
  </si>
  <si>
    <t>0503</t>
  </si>
  <si>
    <t>Муниципальная программа "Формирование современной городской среды Осинского городского округа"</t>
  </si>
  <si>
    <t>1400000000</t>
  </si>
  <si>
    <t>Повышение уровня благоустройства общественных территорий Осинского городского округа</t>
  </si>
  <si>
    <t>Муниципальная программа "Обеспечение безопасности жизнедеятельности населения и территории Осинского городского округа"</t>
  </si>
  <si>
    <t>Муниципальная  программа "Экономическое развитие Осинского городского округа"</t>
  </si>
  <si>
    <t>Подпрограмма "Развитие малого и среднего предпринимательства"</t>
  </si>
  <si>
    <t>0110000000</t>
  </si>
  <si>
    <t>0100100010</t>
  </si>
  <si>
    <t>0100100020</t>
  </si>
  <si>
    <t>Подпрограмма "Развитие сельского хозяйства"</t>
  </si>
  <si>
    <t>0120000000</t>
  </si>
  <si>
    <t>0120000040</t>
  </si>
  <si>
    <t>Муниципальная программа "Развитие физической культуры, спорта и формирование здорового образа жизни в Осинском городском округе"</t>
  </si>
  <si>
    <t>Подпрограмма "Развитие физической культуры и  массового спорта"</t>
  </si>
  <si>
    <t>Приобщение различных слоев населения Осинского городского округа к регулярным занятиям физической культурой и спортом</t>
  </si>
  <si>
    <t>0710100010</t>
  </si>
  <si>
    <t xml:space="preserve">Создание условий для развития спортивных учреждений </t>
  </si>
  <si>
    <t>Подпрограмма "Развитие спортивной инфраструктуры для занятий физической культурой и спортом"</t>
  </si>
  <si>
    <t>0720100010</t>
  </si>
  <si>
    <t>0730100010</t>
  </si>
  <si>
    <t>0730100020</t>
  </si>
  <si>
    <t>Муниципальная программа «Молодежная  политика Осинского городского округа»</t>
  </si>
  <si>
    <t>Подпрограмма «Развитие молодежной политики в  Осинском  городском округе»</t>
  </si>
  <si>
    <t>0210000000</t>
  </si>
  <si>
    <t>Повышение правовой культуры и формирование активной жизненной позиции</t>
  </si>
  <si>
    <t>0210100010</t>
  </si>
  <si>
    <t>0210100020</t>
  </si>
  <si>
    <t xml:space="preserve">Предупреждение правонарушений среди молодежи и совершенствование системы профилактики. </t>
  </si>
  <si>
    <t>0210100030</t>
  </si>
  <si>
    <t xml:space="preserve">Подпрограмма "Патриотическое и духовно - нравственное  воспитание молодежи Осинского городского округа" </t>
  </si>
  <si>
    <t>0220000000</t>
  </si>
  <si>
    <t>Содействие  военно- патриотическому и духовно- нравственному воспитанию молодежи</t>
  </si>
  <si>
    <t>0220100010</t>
  </si>
  <si>
    <t>Развитие волонтерского движения в Осинском городском округе</t>
  </si>
  <si>
    <t>0220100020</t>
  </si>
  <si>
    <t>320</t>
  </si>
  <si>
    <t>Муниципальная программа "Культура Осинского городского округа"</t>
  </si>
  <si>
    <t>Формирование благоприятного инвестиционного климата для привлечения инвестиций в сферу туризма, участия в грантах и конкурсах субсидирования</t>
  </si>
  <si>
    <t>0810100011</t>
  </si>
  <si>
    <t>Предоставление услуги по организации библиотечного, библиографического и информационного обслуживания населения</t>
  </si>
  <si>
    <t>Организация и проведение мероприятий в сфере библиотечного обслуживания</t>
  </si>
  <si>
    <t>Развитие системы дополнительного образования в сфере культуры</t>
  </si>
  <si>
    <t>Организация и проведение мероприятий в области искуства</t>
  </si>
  <si>
    <t>Обеспечение населения услугами культурно-досуговых учреждений</t>
  </si>
  <si>
    <t>Организация деятельности клубных формирований и формирований самодеятельного народного творчества (оказание муниципальных услуг в сфере культуры)</t>
  </si>
  <si>
    <t>Реализация культурных мероприятий (фестивалей, конкурсов)</t>
  </si>
  <si>
    <t>Создание условий для качественной и инновационной деятельности учреждений культуры</t>
  </si>
  <si>
    <t>Муниципальная программа "Развитие системы образования Осинского  городского округа"</t>
  </si>
  <si>
    <t xml:space="preserve">Подпрограмма "Общее образование и кадровая политика"  </t>
  </si>
  <si>
    <t>0410100011</t>
  </si>
  <si>
    <t>620</t>
  </si>
  <si>
    <t xml:space="preserve"> Подпрограмма "Приведение образовательных организаций Осинского городского округа в нормативное состояние"</t>
  </si>
  <si>
    <t>0430100010</t>
  </si>
  <si>
    <t>0430100020</t>
  </si>
  <si>
    <t>Организация подвоза детей для участия в мероприятиях муниципального и регионального уровней</t>
  </si>
  <si>
    <t>0420100011</t>
  </si>
  <si>
    <t>Реализация дополнительных общеразвивающих программ (МБУ ДО "ЦДТ")</t>
  </si>
  <si>
    <t>0420100012</t>
  </si>
  <si>
    <t>0420100020</t>
  </si>
  <si>
    <t>0420100030</t>
  </si>
  <si>
    <t>0420100040</t>
  </si>
  <si>
    <t>0420100050</t>
  </si>
  <si>
    <t>Творческое развитие и воспитание детей, молодежи</t>
  </si>
  <si>
    <t>Формирование у обучающихся социальных компетенций, гражданских установок, культуры здорового образа жизни</t>
  </si>
  <si>
    <t>Содействие профессиональному самоуправлению выпускников школ</t>
  </si>
  <si>
    <t>0410100027</t>
  </si>
  <si>
    <t>2100000003</t>
  </si>
  <si>
    <t>Обеспечение выполнения функций МКУ "Осинский центр бухгалтерского учета"</t>
  </si>
  <si>
    <t>Муниципальная программа "Совершенствование муниципальной службы в ОГО"</t>
  </si>
  <si>
    <t>Подпрограмма "Обеспечение реализации муниципальной программы"</t>
  </si>
  <si>
    <t>0320000000</t>
  </si>
  <si>
    <t>Обеспечение выполнения функций администрации Осинского городского округа для реализации мероприятий подпрограмм</t>
  </si>
  <si>
    <t xml:space="preserve">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 </t>
  </si>
  <si>
    <t>2520</t>
  </si>
  <si>
    <t xml:space="preserve">обеспечение первичных мер пожарной безопасности в границах городского округа </t>
  </si>
  <si>
    <t>0510100040</t>
  </si>
  <si>
    <t>2521</t>
  </si>
  <si>
    <t xml:space="preserve">организация мероприятий по охране окружающей среды в границах городского округа </t>
  </si>
  <si>
    <t>0500100001</t>
  </si>
  <si>
    <t>Организация мероприятий по охране окружающей среды в границах округа</t>
  </si>
  <si>
    <t>2515</t>
  </si>
  <si>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 </t>
  </si>
  <si>
    <t>0510100030</t>
  </si>
  <si>
    <t>Поддержание мобилизационной готовности органов управления и организаций городского округа на уровне, гарантирующем их перевод на работу в условиях военного времени</t>
  </si>
  <si>
    <t>п.2.4</t>
  </si>
  <si>
    <t>01.01.2020 - бессрочно</t>
  </si>
  <si>
    <t>раздел 3; п.4.4</t>
  </si>
  <si>
    <t>01.01.2020-31.12.2022, 01.01.2015- не ограничен</t>
  </si>
  <si>
    <t>раздел 3; п.4.5</t>
  </si>
  <si>
    <t>Муниципальная программа "Развитие системы образования Осинского городского округа"</t>
  </si>
  <si>
    <t>Подпрограмма "Общее образование и кадровая политика"</t>
  </si>
  <si>
    <t>0410100022</t>
  </si>
  <si>
    <t>в целом, в целом</t>
  </si>
  <si>
    <t>в целом</t>
  </si>
  <si>
    <t>0410100024</t>
  </si>
  <si>
    <t>0410100025</t>
  </si>
  <si>
    <t>Постановление администрации ОМР от 30.01.2013 № 63 "Об утверждении Порядка назначения и осуществления выплаты родителям (законным представителям) учащихся за проезд к месту учебы и обратно";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</si>
  <si>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 xml:space="preserve">п.2, п.4.4                               </t>
  </si>
  <si>
    <t>0410100026</t>
  </si>
  <si>
    <t>Обеспечение бесплатным двухразовым питанием детей с ограниченными возможностями здоровья, обучающихся в общеобразовательных организациях</t>
  </si>
  <si>
    <t>0410100040</t>
  </si>
  <si>
    <t>01.01.2020-31.12.2022, 01.01.2018-бессрочно</t>
  </si>
  <si>
    <t xml:space="preserve">Организация подвоза детей для участия в мероприятиях муниципального  и регионального уровней </t>
  </si>
  <si>
    <t>01.01.2020-31.12.2022,  01.01.2015- не ограничен</t>
  </si>
  <si>
    <t>Формирование у обучающихся культуры здорового образа жизни</t>
  </si>
  <si>
    <t>Подпрограмма "Приведение в нормативное состояние образовательных организаций"</t>
  </si>
  <si>
    <t>0410100021</t>
  </si>
  <si>
    <t>в целом, п.1</t>
  </si>
  <si>
    <t>01.01.2020-31.12.2022, 01.01.2015-не ограничен</t>
  </si>
  <si>
    <t>01.01.2020-31.12.2022,  01.01.2015- не ограничен, 01.01.2018-бессрочно</t>
  </si>
  <si>
    <t>п.1; п. 2.2</t>
  </si>
  <si>
    <t>п.2.1.</t>
  </si>
  <si>
    <t>01.01.2020-бессрочно 01.01.2020-31.12.2022</t>
  </si>
  <si>
    <t>п.2.1</t>
  </si>
  <si>
    <t>п.2.3</t>
  </si>
  <si>
    <t>п.2.5</t>
  </si>
  <si>
    <t>01.01.2020 -бессрочно</t>
  </si>
  <si>
    <t>п.2.6</t>
  </si>
  <si>
    <t>Обеспечение работников бюджетных учреждений Осинского муниципального района путевками на санаторно-курортное лечение</t>
  </si>
  <si>
    <t>с момента опубликования - 31.12.2020;  06.01.2018 -31.12.2019</t>
  </si>
  <si>
    <t>2100000006</t>
  </si>
  <si>
    <r>
      <rPr>
        <sz val="10"/>
        <color indexed="8"/>
        <rFont val="Times New Roman"/>
        <family val="1"/>
      </rPr>
      <t>Постановление</t>
    </r>
    <r>
      <rPr>
        <sz val="10"/>
        <rFont val="Times New Roman"/>
        <family val="1"/>
      </rPr>
      <t xml:space="preserve"> администрации ОМР от 16.10.2019 № 930 "Об установлении расходного обязательства ОМР на 2019 год и последующие годы на предоставление субсидий  из бюджета ОМР социально ориентированным некоммерческим организациям, не являющимся муниципальными учреждениями</t>
    </r>
  </si>
  <si>
    <t>16.10.2019-бессрочно</t>
  </si>
  <si>
    <t>Мероприятия, осуществляемые органами местного самоуправления Осинского городского округа в рамках непрограммных направлений расходов</t>
  </si>
  <si>
    <t>раздел III; п.3</t>
  </si>
  <si>
    <t>01.01.2017-бессрочно; 01.01.2020-бессрочно</t>
  </si>
  <si>
    <t>Проведение работ по акарицидной обработке открытых территорий общего пользования и дератизации  объектов в эпидемической сезон</t>
  </si>
  <si>
    <t>0500200001</t>
  </si>
  <si>
    <t>22.09.2017 - бессрочно; 01.01.2020-бессрочно</t>
  </si>
  <si>
    <t>01.01.2020-бессрочно 01.01.2018-бессрочно</t>
  </si>
  <si>
    <t>планируемый финансовый год (2020)</t>
  </si>
  <si>
    <t>плановый период (2021-2022)</t>
  </si>
  <si>
    <t>28.05.2019-бессрочно; 01.01.2020-бессрочно</t>
  </si>
  <si>
    <t>2550</t>
  </si>
  <si>
    <t xml:space="preserve">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 </t>
  </si>
  <si>
    <t>2557</t>
  </si>
  <si>
    <t xml:space="preserve">оказание поддержки гражданам и их объединениям, участвующим в охране общественного порядка, создание условий для деятельности народных дружин </t>
  </si>
  <si>
    <t>27.11.2018-бессрочно; 01.01.2020-бессрочно</t>
  </si>
  <si>
    <t>Постановление администрации ОМР от 22.09.2017 № 463 "О утверждении Порядка предоставления субсидий на возмещение части затрат сельскохозяйственным товаропроизводителям на реализацию инвестиционных проектов»,                                  Постановление администрации ОМР от 21.11.2019 № 1110 "Об установлении расходного обязательства по вопросам местного значения в сфере предпринимательства и сельского хозяйства"</t>
  </si>
  <si>
    <t>Постановление администрации ОМР от 21.11.2019 № 1110 "Об установлении расходного обязательства по вопросам местного значения в сфере предпринимательства и сельского хозяйства"</t>
  </si>
  <si>
    <t>Постановление администрации ОМР от 28.05.2019 № 371 «Об утверждении Порядка предоставления субсидий сельскохозяйственным товаропроизводителям на возмещение части затрат на распашку земель сельскохозяйственного назначения»; Постановление администрации ОМР от 21.11.2019 № 1110 "Об установлении расходного обязательства по вопросам местного значения в сфере предпринимательства и сельского хозяйства"</t>
  </si>
  <si>
    <t>Постановление администрации ОМР от 09.11.2017 № 556 "Об утверждении нормативных затрат на мероприятия, предусмотренные муниципальными программами ОМР".  Постановление администрации ОМР от 21.11.2019 № 1110 "Об установлении расходного обязательства по вопросам местного значения в сфере предпринимательства и сельского хозяйства"</t>
  </si>
  <si>
    <t>Постановление администрации ОМР от 19.11.2019 № 1064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t>
  </si>
  <si>
    <t>0104</t>
  </si>
  <si>
    <t>25.10.2019-бессрочно</t>
  </si>
  <si>
    <t xml:space="preserve">Государственная регистрация актов гражданского состояния </t>
  </si>
  <si>
    <t>2000059300</t>
  </si>
  <si>
    <t>Закон Пермского края от 12.03.2007 № 18-ПК "О наделении органов местного самоуправления Пермского края полномочиями на государственную регистрацию актов гражданского состояния"</t>
  </si>
  <si>
    <t>31.03.2007-бессрочно</t>
  </si>
  <si>
    <t>статья 6</t>
  </si>
  <si>
    <t>2000000000</t>
  </si>
  <si>
    <t>3103</t>
  </si>
  <si>
    <t xml:space="preserve">по составлению списков кандидатов в присяжные заседатели </t>
  </si>
  <si>
    <t>0105</t>
  </si>
  <si>
    <t>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</si>
  <si>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2000051200</t>
  </si>
  <si>
    <t>Постановление Правительства РФ от 23.05.2005 N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РФ"</t>
  </si>
  <si>
    <t>23.05.2005- бессрочно</t>
  </si>
  <si>
    <t>3239</t>
  </si>
  <si>
    <t>Образование комиссий по делам несовершеннолетних и защите их прав и организациях их деятельности</t>
  </si>
  <si>
    <t>200002С050</t>
  </si>
  <si>
    <t>Составление протоколов об административных правонарушениях</t>
  </si>
  <si>
    <t>200002П040</t>
  </si>
  <si>
    <t>Осуществление полномочий по созданию и организации деятельности административных комиссий</t>
  </si>
  <si>
    <t>200002П060</t>
  </si>
  <si>
    <t>Закон Пермского края от 30.08.2010 № 668-ПК "О наделении органов местного самоуправления Пермского края государственными полномочиями по составлению протоколов об административных правонарушениях"</t>
  </si>
  <si>
    <t>01.01.2011-бессрочно</t>
  </si>
  <si>
    <t>статья 5;                 в целом</t>
  </si>
  <si>
    <t>01.01.2016-бессрочно; 20.06.2016-бессрочно</t>
  </si>
  <si>
    <t xml:space="preserve"> Закон Пермского края от 19.12.2006 № 44-КЗ "О наделении органов местного самоуправления муниципальных районов и городских округов государственными полномочиями по образованию комисий по делам несовершеннолетних и защите их прав и организации их деятельности"</t>
  </si>
  <si>
    <t>статья 4</t>
  </si>
  <si>
    <t>01.01.2017- бессрочно</t>
  </si>
  <si>
    <t>Обслуживание лицевых счетов органов государственной власти Пермского края, государственных краевых учреждений органами местного самоуправления Пермского края</t>
  </si>
  <si>
    <t>0106</t>
  </si>
  <si>
    <t>200002Ц320</t>
  </si>
  <si>
    <t xml:space="preserve">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 </t>
  </si>
  <si>
    <t>3202</t>
  </si>
  <si>
    <t xml:space="preserve"> Закон Пермского края от 29.12.2005 г № 2768-620 "О передаче органам местного самоуправления муниципальных районов отдельных государственных полномочий по обслуживанию лицевых счетов органов государственной власти ПК, государственных краевых учреждений"</t>
  </si>
  <si>
    <t>ст.6</t>
  </si>
  <si>
    <t>29.12.2005-бессрочно</t>
  </si>
  <si>
    <t>3293</t>
  </si>
  <si>
    <t>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РФ</t>
  </si>
  <si>
    <t>Обеспечение хранения, комплектования, учета и использования архивных документов государственной части документов архивного фонда Пермского края</t>
  </si>
  <si>
    <t>200002К080</t>
  </si>
  <si>
    <t>статья 4;                   в целом</t>
  </si>
  <si>
    <t>24.07.2007- бессрочно; 27.05.2016- бессрочно;</t>
  </si>
  <si>
    <t>3260</t>
  </si>
  <si>
    <t>на установление подлежащих государственному регулированию цен (тарифов) на товары (услуги) в соответствии с законодательством РФ</t>
  </si>
  <si>
    <t>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t>
  </si>
  <si>
    <t>200002Т060</t>
  </si>
  <si>
    <t>ст.7;                         в целом</t>
  </si>
  <si>
    <t>03.11.2006- бессрочно 28.08.2014-бессрочно</t>
  </si>
  <si>
    <t>Администрирование отдельных государственных полномочий по поддержке сельскохозяйственного производства</t>
  </si>
  <si>
    <t>200002У110</t>
  </si>
  <si>
    <t xml:space="preserve"> в целом</t>
  </si>
  <si>
    <t>28.06.2013 - не установлен; 28.07.2013 - не установлен</t>
  </si>
  <si>
    <t>28.06.2013 - бессрочно; 28.07.2013 - бессрочно</t>
  </si>
  <si>
    <t>Администрирование государственных полномочий по организации проведения мероприятий по отлову безнадзорных животных, их транспортировке, учету и регистрации, содержанию, лечению, кастрации (стерилизации), эвтаназии, утилизации</t>
  </si>
  <si>
    <t>050032У100</t>
  </si>
  <si>
    <t>3254</t>
  </si>
  <si>
    <t xml:space="preserve">Мероприятия по отлову безнадзорных животных, их транспортировке, учету и регистрации, содержанию, лечению, кастрации (стериализации), эвтаназии, утилизации </t>
  </si>
  <si>
    <t xml:space="preserve">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t>
  </si>
  <si>
    <t>050032У090</t>
  </si>
  <si>
    <t>Выплаты материального стимулирования народным дружинникам за участие в охране общественного порядка</t>
  </si>
  <si>
    <t>23.06.2016-бессрочно</t>
  </si>
  <si>
    <t>3228</t>
  </si>
  <si>
    <t>Содержание жилых помещений специализированного жилищного фонда для детей-сирот, оставшихся без попечения родителей, лиц из их числа</t>
  </si>
  <si>
    <t>101012С070</t>
  </si>
  <si>
    <t>Организация осуществления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</si>
  <si>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</si>
  <si>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1004</t>
  </si>
  <si>
    <t>101012С080</t>
  </si>
  <si>
    <t>Строительство и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t>
  </si>
  <si>
    <t>п.1; в целом</t>
  </si>
  <si>
    <t>29.12.2017-бессрочно; 01.01.2018 - бессрочно</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</si>
  <si>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</si>
  <si>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(строительство распределительных газопроводов)</t>
  </si>
  <si>
    <t>Реализация программ развития преобразованных муниципальных образований (строительство распределительных газопроводов)</t>
  </si>
  <si>
    <t>11101SP040</t>
  </si>
  <si>
    <t>11101SP180</t>
  </si>
  <si>
    <t>Реализация программ развития преобразованных муниципальных образований (строительство, ремонт сетей водоснабжения)</t>
  </si>
  <si>
    <t>11201SP180</t>
  </si>
  <si>
    <t>Реализация программ развития преобразованных муниципальных образований (благоустройство территории)</t>
  </si>
  <si>
    <t>09001SP180</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</si>
  <si>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(строительство водопроводных сетей)</t>
  </si>
  <si>
    <t>11201SP040</t>
  </si>
  <si>
    <t xml:space="preserve">Обеспечение устойчивого сокращения непригодного для проживания жилого фонда </t>
  </si>
  <si>
    <t>150F367483</t>
  </si>
  <si>
    <t>150F367484</t>
  </si>
  <si>
    <t>Реализация мероприятий по обеспечению устойчивого сокращения непригодного для проживания жилого фонда</t>
  </si>
  <si>
    <t>Постановление администрации ОМР от 21.11.2019  № 1109 "Об установлении расходного обязательства по вопросам местного значения в сфере управления земельными ресурсами и имуществом Осинского городского округа"</t>
  </si>
  <si>
    <t>Постановлени администрации ОМР от 19.10.2016 № 400 "Об установлении расходного обязательства Осинского муниципального  района, связанного с финансированием расходов по перевозке пассажиров и багажа автомобильным транспортом (кроме такси) на маршрутах регулярных перевозок по регулируемым тарифам на территории Осинского муниципального района"; Постановление администрации ОМР от 02.12.2019 № 1154 "Об утверждении расходного обязательства по по развитию транспортной системы Осинского городского округа"</t>
  </si>
  <si>
    <t>Постановление администрации ОМР от 02.12.2019 № 1152 "Об утверждении расходного обязательства по благоустройству территории Осинского городского округа"</t>
  </si>
  <si>
    <t>Постановление администрации ОМР от 05.12.2019 № 1155 "Об установлении расходного обязательства по развитию градостроительной деятельности Осинского городского округа"</t>
  </si>
  <si>
    <t>06101ST040</t>
  </si>
  <si>
    <t>Ликвидация аварийного жилищного фонда (оценка выкупной стоимости жилых помещений, признанных аварийными, снятие с кадастрового учета, снос аварийных МКД)</t>
  </si>
  <si>
    <t>14001SЖ090</t>
  </si>
  <si>
    <t>Поддержка муниципальных программ формирования современной городской среды (расходы, не софинансируемые из федерального бюджета), благоустройство дворовых территорий</t>
  </si>
  <si>
    <t>Реализация программ формирования современной городской среды в рамках Федерального проекта "Формирование комфортной городской среды" (благоустройство дворовых территорий)</t>
  </si>
  <si>
    <t>140F255551</t>
  </si>
  <si>
    <t>Поддержка муниципальных программ формирования современной городской среды (расходы, не софинансируемые из федерального бюджета), благоустройство общественных территорий</t>
  </si>
  <si>
    <t>1400100020</t>
  </si>
  <si>
    <t>140F255552</t>
  </si>
  <si>
    <t>Реализация программ формирования современной городской среды в рамках Федерального проекта "Формирование комфортной городской среды" (благоустройство общественных территорий)</t>
  </si>
  <si>
    <t>Реализация мероприятий, направленных на комплексное развитие сельских территорий (благоустройство сельских территорий)</t>
  </si>
  <si>
    <t>Постановление администрации ОМР от 27.11.2018 № 445 "О создании муниципального казенного учреждения "Осинский центр бухгалтерского учета"; Постановление администрации ОМР от 24.10.2019 № 967 "Об утверждении Положения о системе оплаты труда работников муниципального казенного учреждения "Осинский центр бухгалтерского учета"</t>
  </si>
  <si>
    <t>Реализация мероприятий, направленных на комплексное развитие сельских территорий (улучшение жилищных условий граждан, проживающих в сельских территориях)</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</si>
  <si>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(улучшение жилищных условий граждан, проживающих в сельских территориях)</t>
  </si>
  <si>
    <t>21000SP040</t>
  </si>
  <si>
    <t>0410100042</t>
  </si>
  <si>
    <t>0410100030</t>
  </si>
  <si>
    <t>Создание условий для привлечения в систему образования педагогических работников</t>
  </si>
  <si>
    <t>0410100041</t>
  </si>
  <si>
    <t>041012H040</t>
  </si>
  <si>
    <t>3116</t>
  </si>
  <si>
    <t>3117</t>
  </si>
  <si>
    <t xml:space="preserve">на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 </t>
  </si>
  <si>
    <t>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</si>
  <si>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2100051350</t>
  </si>
  <si>
    <t>Обеспечение жильем отдельных категорий граждан, установленных федеральным законом от 12 января 1995 года № 5-ФЗ "О ветеранах"</t>
  </si>
  <si>
    <t>2100051760</t>
  </si>
  <si>
    <t>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</si>
  <si>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Единая субвенция на выполнение отдельных государственных полномочий органов государственной власти в сфере образования </t>
  </si>
  <si>
    <t>041012H020</t>
  </si>
  <si>
    <t>3403</t>
  </si>
  <si>
    <t xml:space="preserve">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 № 124-ФЗ «Об основных гарантиях прав ребенка в Российской Федерации» </t>
  </si>
  <si>
    <t>3241</t>
  </si>
  <si>
    <t>041012C140</t>
  </si>
  <si>
    <t>210002С140</t>
  </si>
  <si>
    <t>3236</t>
  </si>
  <si>
    <r>
      <t xml:space="preserve">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t>
    </r>
    <r>
      <rPr>
        <b/>
        <sz val="11"/>
        <rFont val="Times New Roman"/>
        <family val="1"/>
      </rPr>
      <t xml:space="preserve">на оплату жилых помещений и коммунальных услуг </t>
    </r>
    <r>
      <rPr>
        <sz val="11"/>
        <rFont val="Times New Roman"/>
        <family val="1"/>
      </rPr>
      <t>(в части предоставления мер социальной поддержки льготным категориям граждан)</t>
    </r>
  </si>
  <si>
    <t>210002С190</t>
  </si>
  <si>
    <t>Единая субвенция на выполнение отдельных государственных полномочий органов государственной власти в сфере образования (питание, одежда)</t>
  </si>
  <si>
    <t>3237</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</si>
  <si>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</si>
  <si>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Реализация дополнительных предпрофессиональных программ в области искусств</t>
  </si>
  <si>
    <t>Реализация дополнительных общеразвивающих программ (вокал)</t>
  </si>
  <si>
    <t>Устройство и строительство новых спортивных объектов и сооружений</t>
  </si>
  <si>
    <t>1102</t>
  </si>
  <si>
    <t>07201SP180</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</si>
  <si>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</si>
  <si>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04301SP040</t>
  </si>
  <si>
    <t>4000000000</t>
  </si>
  <si>
    <t>Реализация программ развития преобразованных муниципальных образований</t>
  </si>
  <si>
    <t>04301SP180</t>
  </si>
  <si>
    <t>041012С170</t>
  </si>
  <si>
    <t>0410100012</t>
  </si>
  <si>
    <t xml:space="preserve">Приказ Министерства тарифного регулирования и энергетики Пермского края от 11.11.2019 № СЭД-46-05-05-16 "об утверждении корректировки инвестиционной программы МУП "Тепловые сети" в сфере теплоснабжения  на 2018-2022 гг." </t>
  </si>
  <si>
    <t>11.11.2019-бессрочно</t>
  </si>
  <si>
    <t>п.3; п.1.1; п.1.1</t>
  </si>
  <si>
    <t xml:space="preserve">01.01.2020-бессрочно; 04.09.2019-бессрочно; 26.09.2019-бессрочно </t>
  </si>
  <si>
    <t>Постановление ППК от 10.04.2015 N 206-п "О предоставлении субсидий на реализацию муниципальных программ, инвестиционных проектов муниципальных образований Пермского края и приоритетных региональных проектов"</t>
  </si>
  <si>
    <t>п.1.1</t>
  </si>
  <si>
    <t>04.09.2019-бессрочно</t>
  </si>
  <si>
    <t>п.3; п.1.1</t>
  </si>
  <si>
    <t>01.01.2020-бессрочно; 04.09.2019-бессрочно</t>
  </si>
  <si>
    <t>Постановление администрации ОМР от 02.12.2019  № 1156  "Об установлении расходного обязательства по развитию инфраструктуры Осинского городского округа"; Постановление ППК от 10.04.2015 N 206-п "О предоставлении субсидий на реализацию муниципальных программ, инвестиционных проектов муниципальных образований Пермского края и приоритетных региональных проектов"; Постановление ППК от 21.11.2018 N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t>
  </si>
  <si>
    <t>Постановление администрации ОМР от 02.12.2019 № 1152 "Об утверждении расходного обязательства по благоустройству территории Осинского городского округа"; Постановление ППК от 21.11.2018 N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t>
  </si>
  <si>
    <t>Постановление ППК от 12.07.2017 N 665-п "Об утверждении порядков по финансовому обеспечению и осуществлению органами местного самоуправления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Постановление администрации ОМР от 26.12.2017 № 653 "Об установлении расходного обязательства на реализацию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</si>
  <si>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Обеспечение выполнения функций МКУ "Гражданская защита"</t>
  </si>
  <si>
    <t>04.06.19-бессрочно</t>
  </si>
  <si>
    <t>Проведение культурно-массовых и спортивных мероприятий некоммерческими организациями</t>
  </si>
  <si>
    <t xml:space="preserve"> Постановление администрации ОМР от 10.12.2019 № 1170 "Об установлении  расходного обязательства по обеспечению муниципальной программы "Улучшение гражданского единства и гармонизации межнациональных отношений на территории  Осинского городского округа"</t>
  </si>
  <si>
    <t xml:space="preserve">Постановление администрации ОМР от 10.12.2019 № 1171 "Об установлении  расходного обязательства по обеспечению деятельности органов местного самоуправления ОМР". Постановление администрации ОМР от 09.11.2017 № 556 "Об утверждении нормативных затрат на мероприятия, предусмотренные муниципальными программами ОМР" </t>
  </si>
  <si>
    <t>Постановление администрации ОМР от 10.12.2019 № 1174 "Об установлении расходного обязательства по вопросам местного значения в области общего образования и кадровой политики"</t>
  </si>
  <si>
    <t>Постановление администрации ОМР от10.12.2019 № 1172"Об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</si>
  <si>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01.01.2020-бессрочно 01.01.2015- не ограничен</t>
  </si>
  <si>
    <t xml:space="preserve">п.1.1; </t>
  </si>
  <si>
    <t>04.09.2019-бессрочно;</t>
  </si>
  <si>
    <t>п.1.1; раздел 3; п.4.5</t>
  </si>
  <si>
    <t xml:space="preserve"> Постановление администрации ОМР от10.12.2019 № 1172"Об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</si>
  <si>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01.01.2020-бессрочно;01.01.2015- не ограничен</t>
  </si>
  <si>
    <t>31.08.2017-бессрочно</t>
  </si>
  <si>
    <t>Постановление администрации ОМР от 19.11.2019 № 1064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t>
  </si>
  <si>
    <t>Реализация основных общеобразовательных программ основного общего образования (предоставление общедоступного и бесплатного дошкольного, начального, основного общего образования для обучающихся с ограниченными возможностями здоровья (Коррекционная школа)</t>
  </si>
  <si>
    <t>Обеспечение выполнения функций управления развития инфраструктуры администрации Осинского муниципального района</t>
  </si>
  <si>
    <t>п.2.4;                   п.7.10</t>
  </si>
  <si>
    <t xml:space="preserve">Постановление администрации ОМР от 01.11.2019 №1014 "Об утверждении Порядка определения нормативных затрат,  на оказание муниципальных услуг (выполнение работ) в сфере культуры,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ОМР от 20.09.2019 №833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t>
  </si>
  <si>
    <t xml:space="preserve"> Постановление администрации ОМР от 09.12.2019 №1164 "Об утверждении размеров нормативных затрат на оказание муниципальных услуг (выполнение работ), затрат на уплату налогов муниципальными учреждениями культуры и спорта на 2020 год и плановый период 2021 и 2022 годов" </t>
  </si>
  <si>
    <t>Постановление администрации ОМР от 10.12.2019 №1177  "Об установлении расходного обязательства по вопросам местного значения в сфере культуры"</t>
  </si>
  <si>
    <t>Постановление администрации ОМР от 01.11.2019 №1014 "Об утверждении Порядка определения нормативных затрат,  на оказание муниципальных услуг (выполнение работ) в сфере культуры,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ОМР от 20.09.2019 №833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Постановление администрации ОМР от 10.12.2019 №1177  "Об установлении расходного обязательства по вопросам местного значения в сфере культуры"</t>
  </si>
  <si>
    <t>в целом                               п.1; п.2.4</t>
  </si>
  <si>
    <t xml:space="preserve"> в целом; п.2.3, в целом</t>
  </si>
  <si>
    <t>01.01.2020-31.12.2022 01.01.2020- бессрочно</t>
  </si>
  <si>
    <t xml:space="preserve">Постановление администрации ОМР от 10.12.2019 №1176  "Об установлениии расходного обязательства по вопросам местного значения в сфере физической культуры и спорта"; </t>
  </si>
  <si>
    <t xml:space="preserve">Постановление ППК от 21.11.2018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Постановление администрации ОМР от 10.12.2019 №1176  "Об установлениии расходного обязательства по вопросам местного значения в сфере физической культуры и спорта"; </t>
  </si>
  <si>
    <t>п.1.1; п.2</t>
  </si>
  <si>
    <t>26.09.2019- бессрочно; 01.01.2019-бессрочно</t>
  </si>
  <si>
    <t xml:space="preserve">п.2.5; </t>
  </si>
  <si>
    <t xml:space="preserve">01.01.2020-бессрочно, </t>
  </si>
  <si>
    <t>Постановление администрации ОМР от 10.12.2019 №1175  "Об установлении расходного обязательства по вопросам местного значения в сфере молодежной политики";; Постановление администрации ОМР от 09.11.2017 № 556 "Об утверждении нормативных затрат на мероприятия, предусмотренные муниципальными программами ОМР"</t>
  </si>
  <si>
    <t>Постановление администрации ОМР от 10.12.2019 № 1174 "Об установлении расходного обязательства по вопросам местного значения в области общего образования и кадровой политики"; Постановление администрации ОМР от 11.12.2019 № 1201 "Об утверждении Порядка определения нормативных затрат на оказание муниципальных услуг (выполнение работ) в отношении муниципальных образовательных учреждений и нормативных затрат на уплату налогов"; Постановление администрации ОМР от 09.12.2019 № 1162 "Об утверждении размеров нормативных затрат на оказание муниципальных услуг (выполнение работ) и затрат на уплату налогов муниципальными учреждениямив сфере образования на 2020 год и плановый период 2021 и 2022 годов"</t>
  </si>
  <si>
    <t>в целом, в целом, в целом</t>
  </si>
  <si>
    <t>01.01.2020-31.12.2022, 01.01.2020-бессрочно, 01.01.2020-31.12.2022</t>
  </si>
  <si>
    <t>Постановление администрации ОМР от 10.12.2019 № 1174 "Об установлении расходного обязательства по вопросам местного значения в области общего образования и кадровой политики";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</si>
  <si>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в целом; п.4.4</t>
  </si>
  <si>
    <t xml:space="preserve">26.09.2019-бессрочно; 01.01.2020-бессрочно; </t>
  </si>
  <si>
    <t>Постановление администрации ОМР от 10.12.2019 № 1174 "Об установлении расходного обязательства по вопросам местного значения в области общего образования и кадровой политики";  Постановление администрации ОМР от 11.12.2019 № 1201 "Об утверждении Порядка определения нормативных затрат на оказание муниципальных услуг (выполнение работ) в отношении муниципальных образовательных учреждений и нормативных затрат на уплату налогов"; Постановление администрации ОМР от 09.12.2019 № 1162 "Об утверждении размеров нормативных затрат на оказание муниципальных услуг (выполнение работ) и затрат на уплату налогов муниципальными учреждениямив сфере образования на 2020 год и плановый период 2021 и 2022 годов"</t>
  </si>
  <si>
    <t>Закон Пермского края от 23.12.2006 N 46-КЗ "О наделении органов местного самоуправления Пермского края отдельными государственными полномочиями в сфере образования"; Постановление Правительства Пермского края от 21.03.2014 N 179-п "Об утверждении Порядка предоставления и расходования субвенций из бюджета Пермского края бюджетам муниципальных районов и городских округов Пермского края на осуществление отдельных государственных полномочий в сфере образования"; Постановление администрации ОМР от 10.12.2019 № 1174 "Об установлении расходного обязательства по вопросам местного значения в области общего образования и кадровой политики"</t>
  </si>
  <si>
    <t>ст.6; в целом, в целом</t>
  </si>
  <si>
    <t>09.01.2007-не установлен; 11.04.2014-не установлен, 01.01.2020-31.12.2022</t>
  </si>
  <si>
    <t xml:space="preserve">в целом; п.4.4      </t>
  </si>
  <si>
    <t>Постановление администрации ОМР от 10.12.2019 № 1174 "Об установлении расходного обязательства по вопросам местного значения в области общего образования и кадровой политики", Постановление администрации ОМР от 09.11.2017 № 556 "Об утверждении нормативных затрат на мероприятия, предусмотренные муниципальными программами ОМР"</t>
  </si>
  <si>
    <t>Постановление администрации ОМР от 10.12.2019 № 1173 "Об установлении расходного обязательства по вопросам местного значения в области дополнительного образования и воспитания детей";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</si>
  <si>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Постановление администрации ОМР от 10.12.2019 № 1173 "Об установлении расходного обязательства по вопросам местного значения в области дополнительного образования и воспитания детей";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 Постановление администрации ОМР от 09.11.2017 № 556 "Об утверждении нормативных затрат на мероприятия, предусмотренные муниципальными программами ОМР"</t>
  </si>
  <si>
    <t>в целом, п.4.4</t>
  </si>
  <si>
    <t>Постановление администрации ОМР от 10.12.2019 № 1172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</si>
  <si>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Постановление ППК от 21.11.2018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Постановление администрации ОМР от 10.12.2019 № 1172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t>
  </si>
  <si>
    <t>26.06.19-бессрочно 01.12.2019-бессрочно</t>
  </si>
  <si>
    <t>п.1.1, в целом</t>
  </si>
  <si>
    <t>Постановление администрации ОМР от 10.12.2019 № 1172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</si>
  <si>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в целом;                     п.4.4</t>
  </si>
  <si>
    <t>Постановление администрации ОМР от 07.12.2017 № 613 "Об утверждении Порядка определения нормативных затрат на оказание муниципальных услуг по реализации дополнительных общеразвивающих программ и нормативных затрат на уплату налогов"; Постановление администрации ОМР от 10.12.2019 № 1173 "Об установлении расходного обязательства по вопросам местного значения в области дополнительного образования и воспитания детей"; Постановление администрации ОМР от 09.12.2019 № 1162 "Об утверждении размеров нормативных затрат на оказание муниципальных услуг (выполнение работ) и затрат на уплату налогов муниципальными учреждениямив сфере образования на 2020 год и плановый период 2021 и 2022 годов"</t>
  </si>
  <si>
    <t>п.1, в целом, в целом</t>
  </si>
  <si>
    <t>01.01.2018-бессрочно 01.01.2020-31.12.2022 01.01.2020-31.12.2022</t>
  </si>
  <si>
    <t>в целом; п.4.4, в целом</t>
  </si>
  <si>
    <t>Постановление администрации ОМР от 24.03.2016 № 202 "Об утверждении Порядка осуществления государственных полномочий по организации оздоровления и отдыха детей в Осинском муниципальном районе"; Постановление администрации ОМР от 21.04.2016 № 151 "Об установлении размера родительской платы и льгот по оплате за пребывание детей в лагерях отдыха различного типа Осинского муниципального района"; Постановление администрации ОМР от 10.12.2019 № 1174 "Об установлении расходного обязательства по вопросам местного значения в области общего образования и кадровой политики"</t>
  </si>
  <si>
    <t>24.03.2016- бессрочно, 21.04.2016-бессрочно 01.01.2019-бессрочно</t>
  </si>
  <si>
    <t>Постановление администрации ОМР от 07.12.2017 № 614 "Об утверждении Порядка определения нормативных затрат на оказание муниципальной услуги "Реализация дополнительных профессиональных программ повышения квалификации" и нормативных затрат на уплату налогов", Постановление администрации ОМР от 09.12.2019 № 1162 "Об утверждении размеров нормативных затрат на оказание муниципальных услуг (выполнение работ) и затрат на уплату налогов муниципальными учреждениямив сфере образования на 2020 год и плановый период 2021 и 2022 годов"; Постановление администрации ОМР от 10.12.2019 № 1174 "Об установлении расходного обязательства по вопросам местного значения в области общего образования и кадровой политики"</t>
  </si>
  <si>
    <t>пп.1,2, в целом, в целом</t>
  </si>
  <si>
    <t>01.01.2018-бессрочно, 01.01.2020-31.12.2022, 01.01.2020-31.12.2022</t>
  </si>
  <si>
    <t>Постановление администрации ОМР от 10.12.2019 № 1174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</si>
  <si>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ст.3; в целом</t>
  </si>
  <si>
    <t>18.06.2010 - не установлен; 26.06.2010 - не установлен</t>
  </si>
  <si>
    <t>ст.6; в целом; п.2, п.2</t>
  </si>
  <si>
    <t>09.01.2007-не установлен; 11.04.2014-не установлен, 01.01.2016-не установлен, 01.01.2016-не установлен</t>
  </si>
  <si>
    <t>ст.8; в целом, п.2</t>
  </si>
  <si>
    <t>01.12.2008-не установлен; 15.08.2014-не установлен, 01.01.2016-не установлен</t>
  </si>
  <si>
    <t>ст.7; в целом</t>
  </si>
  <si>
    <t>19.04.2010-не установлен; 29.03.2010-не установлен</t>
  </si>
  <si>
    <t>24.03.2007-не установлен</t>
  </si>
  <si>
    <t>0102</t>
  </si>
  <si>
    <t>2000000001</t>
  </si>
  <si>
    <t>Глава муниципального образования</t>
  </si>
  <si>
    <t>Развитие системы профессиональной переподготовки и повышения квалификации муниципальных служащих</t>
  </si>
  <si>
    <t>0310100020</t>
  </si>
  <si>
    <t>Подпрограмма "Развитие муниципальной службы Осинского городского округа"</t>
  </si>
  <si>
    <t>0310000000</t>
  </si>
  <si>
    <t>Организация обслуживания зданий администрации Осинского городского округа</t>
  </si>
  <si>
    <t>0320100022</t>
  </si>
  <si>
    <t>0320100023</t>
  </si>
  <si>
    <t>Оказание информационных услуг СПС "КонсультантПлюс"</t>
  </si>
  <si>
    <t>Предоставление услуг доступа к сети телематических услуг</t>
  </si>
  <si>
    <t>0320100024</t>
  </si>
  <si>
    <t>0320100026</t>
  </si>
  <si>
    <t>Проведение представительских расходов и расходов на мероприятия администрации Осинского городского округа, уплата взносов в Совет муниципальных образований Пермского края</t>
  </si>
  <si>
    <t>0300100001</t>
  </si>
  <si>
    <t xml:space="preserve">п.2; </t>
  </si>
  <si>
    <t>Решение ЗС ОМР от 27.03.2008 № 375 "О возмещении командировочных расходов за счет средств бюджета ОМР"</t>
  </si>
  <si>
    <t>27.03.2008- бессрочно</t>
  </si>
  <si>
    <t>Обеспечение выполнения функций финансово-аналитического управления администрации Осинского муниципального района</t>
  </si>
  <si>
    <t>Обеспечение выполнения функций аппарата Думы Осинского городского округа</t>
  </si>
  <si>
    <t>Дума ОГО</t>
  </si>
  <si>
    <t>0103</t>
  </si>
  <si>
    <t>2000000003</t>
  </si>
  <si>
    <t>Обеспечение выполнения функций МКУ "Транспортник"</t>
  </si>
  <si>
    <t>2100000002</t>
  </si>
  <si>
    <t>3205</t>
  </si>
  <si>
    <t xml:space="preserve">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 </t>
  </si>
  <si>
    <t>Развитие малых форм хозяйствования (расходы, не софинансируемые из федерального бюджета)</t>
  </si>
  <si>
    <t>210002У180</t>
  </si>
  <si>
    <t>Развитие малых форм хозяйствования</t>
  </si>
  <si>
    <t>21000R5022</t>
  </si>
  <si>
    <t>28.06.2013- бессрочно</t>
  </si>
  <si>
    <t>28.07.2013- бессрочно</t>
  </si>
  <si>
    <t>п.5.</t>
  </si>
  <si>
    <t>Проведение ремонтных работ в здании администрации</t>
  </si>
  <si>
    <t>Мероприятия, осуществляемые органами местного самоуправления в рамках непрограммных направлений расходов</t>
  </si>
  <si>
    <t>0320100030</t>
  </si>
  <si>
    <t>Руководитель контрольно-счетной палаты муниципального образования и его заместители</t>
  </si>
  <si>
    <t>КСП</t>
  </si>
  <si>
    <t>2000000004</t>
  </si>
  <si>
    <t>Обеспечение выполнения функций  контрольно-счетной палаты Осинского муниципального района</t>
  </si>
  <si>
    <t>2000000005</t>
  </si>
  <si>
    <t xml:space="preserve">Резервный фонд администрации </t>
  </si>
  <si>
    <t xml:space="preserve">Обеспечение выполнения функций органов местного самоуправления Осинского городского округа </t>
  </si>
  <si>
    <t>24.10.2017-бессрочно</t>
  </si>
  <si>
    <t>Предоставление услуг (проведение работ)</t>
  </si>
  <si>
    <t>0710100011</t>
  </si>
  <si>
    <t>0710100012</t>
  </si>
  <si>
    <t>Организация мероприятий в области физической культуры</t>
  </si>
  <si>
    <t>Реализация программ развития преобразованных муниципальных образований (Ремонт образовательных организвций)</t>
  </si>
  <si>
    <t>Реализация дополнительных профессиональных общеобразовательных программ повышения квалификации</t>
  </si>
  <si>
    <t>0800100020</t>
  </si>
  <si>
    <t>0800100021</t>
  </si>
  <si>
    <t>0800100022</t>
  </si>
  <si>
    <t>0800100023</t>
  </si>
  <si>
    <t>0800100025</t>
  </si>
  <si>
    <t>0800100012</t>
  </si>
  <si>
    <t>0810100013</t>
  </si>
  <si>
    <t>0800100030</t>
  </si>
  <si>
    <t>0800100031</t>
  </si>
  <si>
    <t>0800100032</t>
  </si>
  <si>
    <t>0800100050</t>
  </si>
  <si>
    <t>Проведение информационной-рекламной деятельности учреждений культуры</t>
  </si>
  <si>
    <t>08000100040</t>
  </si>
  <si>
    <t>0800100060</t>
  </si>
  <si>
    <t>08001SP180</t>
  </si>
  <si>
    <t>п 1.1</t>
  </si>
  <si>
    <t>2502</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</si>
  <si>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</si>
  <si>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раздел 3; п.3</t>
  </si>
  <si>
    <t>01.01.2020-бессрочно; 01.01.2020-бессрочно</t>
  </si>
  <si>
    <t>Решение Думы ОГО от 13.12.2019 № 78 "О создании Дорожного фонда Осинского городского округа и об утверждении Порядка формирования и использования бюджетных ассигнований дорожного фонда Осинского городского округа"; Постановление администрации ОМР от 02.12.2019 № 1154 "Об утверждении расходного обязательства по развитию транспортной системы Осинского городского округа"</t>
  </si>
  <si>
    <t xml:space="preserve"> Постановление администрации ОМР от 10.12.2019 №1175  "Об установлении расходного обязательства по вопросам местного значения в сфере молодежной политики"; Постановление ППК от 01.04.2014 № 215-п "О реализации подпрограммы 1 "Государствення социальная поддержка семей и детей" государственной программы "Семья и дети Пермского края"</t>
  </si>
  <si>
    <t>ПППК от 31.12.2019 N 1064-п "Об утверждении порядков предоставления государственной поддержки, направленной на комплексное развитие сельских территорий в Пермском крае"</t>
  </si>
  <si>
    <t>31.12.2019-бессрочно</t>
  </si>
  <si>
    <t>Постановление ППК от 21.11.2018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Постановление администрации ОМР от10.12.2019 № 1172"Об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t>
  </si>
  <si>
    <t xml:space="preserve">Постановление ППК от 15.04.2015 № 206-п "Опредоставлении субсидий на реализацию муниципальных программ, инвестиционных проектов муниципальных образований, Пермского края и приоритетных региональных проектов" </t>
  </si>
  <si>
    <t>Постановление ППК от 15.04.2015 № 206-п "О предоставлении субсидий на реализацию муниципальных программ, инвестиционных проектов муниципальных образований, Пермского края и приоритетных региональных проектов"</t>
  </si>
  <si>
    <t xml:space="preserve">Постановление ППК от 21.11.2018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t>
  </si>
  <si>
    <t xml:space="preserve">Постановление администрации ОМР от 01.11.2019 №1015 "Об утверждении Порядка определения нормативных затрат,  на оказание муниципальных услуг (выполнение работ) в сфере физической культуры и спорта,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ОМР от 20.09.2019 №833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Постановление администрации ОМР от 10.12.2019 №1176  "Об установлениии расходного обязательства по вопросам местного значения в сфере физической культуры и спорта"     </t>
  </si>
  <si>
    <t xml:space="preserve">Постановление администрации ОМР от 01.11.2019 №1015 "Об утверждении Порядка определения нормативных затрат,  на оказание муниципальных услуг (выполнение работ) в сфере физической культуры и спорта,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ОМР от 20.09.2019 №833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Постановление администрации ОМР от 10.12.2019 №1176  "Об установлениии расходного обязательства по вопросам местного значения в сфере физической культуры и спорта"                                        </t>
  </si>
  <si>
    <t xml:space="preserve">Постановление администрации ОМР от 01.11.2019 №1015 "Об утверждении Порядка определения нормативных затрат,  на оказание муниципальных услуг (выполнение работ) в сфере физической культуры и спорта,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ОМР от 20.09.2019 №833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Постановление администрации ОМР от 10.12.19 №1164 "Об утверждении размеров нормативных затрат на оказание муниципальных услуг (выполнение работ и затрат на уплату налогов муниципальными учреждениями в сфере образования на 2020 год и плановый период 2021 и 2022 годов; Постановление администрации ОМР от 10.12.2019 №1176  "Об установлениии расходного обязательства по вопросам местного значения в сфере физической культуры и спорта" </t>
  </si>
  <si>
    <t xml:space="preserve">Постановление администрации ОМР от 10.12.2019 №1176  "Об установлениии расходного обязательства по вопросам местного значения в сфере физической культуры и спорта" </t>
  </si>
  <si>
    <t>Постановление ППК от 31.12.2019 N 1064-п "Об утверждении порядков предоставления государственной поддержки, направленной на комплексное развитие сельских территорий в Пермском крае"</t>
  </si>
  <si>
    <t>п.1.6</t>
  </si>
  <si>
    <t xml:space="preserve">Постановление администрации ОМР от 21.11.2019 № 1110 "Об установлении расходного обязательства по вопросам местного значения в сфере предпринимательства и сельского хозяйства"; Постановление администрации ОМР от 09.11.2017 № 556 "Об утверждении нормативных затрат на мероприятия, предусмотренные муниципальными программами ОМР" </t>
  </si>
  <si>
    <t>Постановление администрации ОМР от 10.12.2019 №1175  "Об установлении расходного обязательства по вопросам местного значения в сфере молодежной политики"</t>
  </si>
  <si>
    <t>Постановление ППК от 18.10.2017 № 870-п "Об утверждении порядка предоставления и расходования субсидий из бюджета ПК бюджетам городских (сельских) поселений и городских округов ПК на выплату материального стимулирования народным дружиникам за участие в мероприятиях по охране общественного порядка"</t>
  </si>
  <si>
    <t xml:space="preserve">Постановление администрации ОМР от 10.12.2019 № 1171 "Об установлении  расходного обязательства по обеспечению деятельности органов местного самоуправления ОМР" </t>
  </si>
  <si>
    <t>Решение Думы ОГО от 25.10.2019 № 36 "О денежном содержании муниципальных служащих органов местного самоуправления Осинского городского округа"</t>
  </si>
  <si>
    <t xml:space="preserve">Решение Думы Осинского городского округа от 25.10.2019 № 36 "О денежном содержании муниципальных служащих органов местного самоуправления Осинского городского округа" </t>
  </si>
  <si>
    <t xml:space="preserve">Постановление Администрации ОМР  от 17.07.2018г.№ 231 "Об утверждении Порядка обеспечения работников муниципальных учреждений Осинского муниципального района путевками на санаторно-курортное лечение и оздоровление на 2018-2020 годы, Положения и состава комиссии по распределению путевок на санаторно-курортное лечение и оздоровление работников муниципальных учреждений Осинского муниципального района на 2018-2020 годы"; Постановление ПППК от 20.12.2017 № 1035-п "Об утверждении Порядка обеспечения работников государственных учреждений Пермского края путевками на санаторно-курортное лечение и оздоровление, Порядка предоставления из бюджета Пермского края бюджетам муниципальных районов (городских округов) Пермского края субсидий на приобретение путевок на санаторно-курортное лечение и оздоровление работников муниципальных учреждений" </t>
  </si>
  <si>
    <t>Обеспечение деятельности органов местного самоуправления Осинского городского округа в рамках непрограммных направлений</t>
  </si>
  <si>
    <t>Постановление ППК от 02.03.2007 № 21-п «Об утверждении Порядка предоставления мер социальной поддержки по обеспечению жильем ветеранов, инвалидов и семей, имеющих детей-инвалидов, нуждающихся в улучшении жилищных условий»</t>
  </si>
  <si>
    <t>Постановление ППК от 22.06.2016 N 384-п "Об утверждении Порядка предоставления и расходования субвенций из бюджета ПК бюджетам городских (сельских) поселений и ГО ПК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</si>
  <si>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Закон Пермского края от 07.06.2013 N 209-ПК "О передаче органам местного самоуправления Пермского края отдельных государственных полномочий по поддержке сельскохозяйственного производства"; Постановление ППК от 15.07.2013 N 904-п "Об утверждении Порядка предоставления и использования субвенций из бюджета Пермского края бюджетам муниципальных районов, городских округов Пермского края для осуществления отдельных государственных полномочий по поддержке сельскохозяйственного производства, Порядка предоставления субвенций на расходы, необходимые органам местного самоуправления Пермского края для администрирования отдельных государственных полномочий по поддержке сельскохозяйственного производства, Правил расходования субвенций для осуществления отдельных государственных полномочий по поддержке сельскохозяйственного производства"</t>
  </si>
  <si>
    <t>Закон Пермского края от 07.06.2013 N 209-ПК "О передаче органам местного самоуправления Пермского края отдельных государственных полномочий по поддержке сельскохозяйственного производства"</t>
  </si>
  <si>
    <t xml:space="preserve"> Постановление ППК от 15.07.2013 N 904-п "Об утверждении Порядка предоставления и использования субвенций из бюджета Пермского края бюджетам муниципальных районов, городских округов Пермского края для осуществления отдельных государственных полномочий по поддержке сельскохозяйственного производства, Порядка предоставления субвенций на расходы, необходимые органам местного самоуправления Пермского края для администрирования отдельных государственных полномочий по поддержке сельскохозяйственного производства, Правил расходования субвенций для осуществления отдельных государственных полномочий по поддержке сельскохозяйственного производства"</t>
  </si>
  <si>
    <t>Закон Пермского края от 01.06.2010 № 628-ПК "О социальной поддержке педагогических работников образовательных учреждений, работающих и проживающих в сельской местности и поселках городского типа (рабочих поселках), по оплате жилого помещения и коммунальных услуг"; Постановление ППК от 08.06.2010 № 293-п "Об утверждении Порядка предоставления педагогическим работникам образовательных учреждений, работающим и проживающим в сельской местности и поселках городского типа (рабочих поселках), мер социальной поддержки по оплате жилого помещения и коммунальных услуг"</t>
  </si>
  <si>
    <t>Закон Пермского края от 23.12.2006 N 46-КЗ "О наделении органов местного самоуправления Пермского края отдельными государственными полномочиями в сфере образования"; Постановление ППК от 21.03.2014 N 179-п "Об утверждении Порядка предоставления и расходования субвенций из бюджета Пермского края бюджетам муниципальных районов и городских округов Пермского края на осуществление отдельных государственных полномочий в сфере образования", Постановление администрации ОМР от 29.06.2016 № 239 "Об утверждении Порядка расходования субвенций из бюджета Пермского края на реализацию государственных полномочий Пермского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Осинского муниципального района"; Постановление администрации ОМР от 29.06.2016 № 237 "Об утверждении Порядка предоставления и расходования субвенций из бюджета Пермского края на выполнение отдельных государственных полномочий в сфере образования"</t>
  </si>
  <si>
    <t>Закон Пермского края от 14.11.2008 № 339-ПК "О наделении органов местного самоуправления Пермского края государственными полномочиями Пермского края по предоставлению социальных гарантий и льгот педагогическим работникам"; Постановление ППК от 15.08.2014 N 811-п "Об утверждении Порядка предоставления и расходования средств, переданных из бюджета Пермского края органам местного самоуправления муниципальных районов (городских округов) Пермского края на выполнение государственных полномочий по предоставлению мер социальной поддержки педагогическим работникам", Постановление администрации ОМР от 29.06.2016 № 241 "Об утверждении Порядка предоставления и расходования средств, переданных из бюджета Пермского края бюджету Осинского муниципального района на выполнение государственных полномочий по предоставлению мер социальной поддержки педагогическим работникам и администрированию расходов по предоставлению соответствующих мер социальной поддержки"</t>
  </si>
  <si>
    <t>Постановление ППК от 21.11.2012 № 1324-п «Об утверждении Порядка предоставления субсидий (единовременных денежных выплат) на приобретение (строительство) жилого помещения реабилитированным лицам, имеющим инвалидность или являющимся пенсионерами, и проживающим совместно членам их семей и Порядка предоставления и расходования субвенций из регионального фонда компенсаций на осуществление отдельных государственных полномочий по обеспечению жилыми помещениями реабилитированных лиц, имеющих инвалидность или являющихся пенсионерами, и проживающих совместно членов их семей"</t>
  </si>
  <si>
    <t>21.11.2012 - бессрочно</t>
  </si>
  <si>
    <t>Единая субвенция на выполнение отдельных государственных полномочий органов государственной власти в сфере образования (компенсация родительской платы)</t>
  </si>
  <si>
    <t>Закон Пермского края от 01.12.2015 N 576-ПК "О наделении органов местного самоуправления государственными полномочиями Пермского края по созданию и организации деятельности административных комиссий"; Постановление ППК от 20 июня 2016 № 378-п "Об утверждении порядка предоставления и  расходования средств, переданных из бюджета ПК органам местного самоуправления на осуществление государственных полномочий ПК по созданию и организации деятельности административных комиссий"</t>
  </si>
  <si>
    <t xml:space="preserve">Мероприятия по организации оздоровления и отдыха детей </t>
  </si>
  <si>
    <t xml:space="preserve">Закон Пермского края от 02.04.2010 № 607 "О передаче органам местного самоуправления отдельных государственных полномочий по организации оздоровления и отдыха детей"; Постановление ППК от 29.03.2010 № 129-п "О субвенциях из регионального фонда компенсаций на выполнение государственных полномочий по организации оздоровления и отдыха детей" </t>
  </si>
  <si>
    <t>Закон Пермского края от 17.10.2006 № 20-КЗ "О передаче органам местного самоуправления Пермского края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 Постановление ППК от 28.08.2014 N 872-п "Об утверждении порядка предоставления и расходования средств бюджета ПК, передаваемых органам местного самоуправления поселений, городских округов, муниципальных районов ПК для осуществления государственных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t>
  </si>
  <si>
    <t>Закон Пермского края от 09.07.2007 № 74-ПК «О наделении органов местного самоуправления муниципальных районов и городских округов государственными полномочиями по хранению, комплектованию, учету и использованию архивных документов государственной части документов архивного фонда Пермского края»; Постановление ППК от 27.05.2016 N 326-п "Об утверждении порядка предоставления, расходования и возврата субвенций, передаваемых из бюджета ПК бюджетам муниципальных районов и городских округов ПК на осуществление государственных полномочий по хранению, комплектованию, учету и использованию архивных документов государственной части документов архивного фонда ПК"</t>
  </si>
  <si>
    <r>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t>
    </r>
    <r>
      <rPr>
        <b/>
        <sz val="11"/>
        <rFont val="Times New Roman"/>
        <family val="1"/>
      </rPr>
      <t>в части дошкольного</t>
    </r>
    <r>
      <rPr>
        <sz val="11"/>
        <rFont val="Times New Roman"/>
        <family val="1"/>
      </rPr>
      <t xml:space="preserve"> </t>
    </r>
    <r>
      <rPr>
        <b/>
        <sz val="11"/>
        <rFont val="Times New Roman"/>
        <family val="1"/>
      </rPr>
      <t>образования</t>
    </r>
    <r>
      <rPr>
        <sz val="11"/>
        <rFont val="Times New Roman"/>
        <family val="1"/>
      </rPr>
      <t xml:space="preserve"> в муниципальных дошкольных образовательных организациях и муниципальных общеобразовательных организациях)</t>
    </r>
  </si>
  <si>
    <t>Подпрограмма "Развитие физической культуры и спорта"</t>
  </si>
  <si>
    <t>Создание условий для развития спортивных учреждений (МАУ ДО "ДЮСШ")</t>
  </si>
  <si>
    <t>2000000011</t>
  </si>
  <si>
    <t>Выплата пособия по сокращению</t>
  </si>
  <si>
    <t>2000000010</t>
  </si>
  <si>
    <t>Реализация программ развития преобразованных муниципальных образований (ремонт ДК)</t>
  </si>
  <si>
    <t>26.09.2019- бессрочно</t>
  </si>
  <si>
    <t>Обустройство туристской инфраструктуры в муниципальных образованиях</t>
  </si>
  <si>
    <t>08001SЦ200</t>
  </si>
  <si>
    <t>Постановление ППК от 15.10.2019 № 751-п "Об утверждении объемов субсидий бюджетам муниципальных образований Пермского края, предоставляемых из бюджета Пермского края на реализацию мероприятий по созданию туристской сервисной и обеспечивающей инфраструктуры, в 2020 году"</t>
  </si>
  <si>
    <t>15.10.2019-31.12.2020</t>
  </si>
  <si>
    <t>Подготовка генеральных планов, правил землепользования и застройки муниципальных образований Пермского края</t>
  </si>
  <si>
    <t>12001SЖ420</t>
  </si>
  <si>
    <t>Постановление ППК от 10.07.2019 № 472-п "Об утверждении Порядка предоставления и расходования субсидий из бюджета Пермского края бюджетам муниципальных образований Пермского края, направленных на подготовку генеральных планов, правил землепользования и застройки муниципальных образований Пермского края"</t>
  </si>
  <si>
    <t>10.07.2019-бессрочно</t>
  </si>
  <si>
    <t>Мероприятия по расселению жилищного фонда, признанного аварийным</t>
  </si>
  <si>
    <t>2100000008</t>
  </si>
  <si>
    <t>Постановление администрации ОМР от 02.12.2019 № 1153 "Об утверждении расходного обязательства по созданию безопасных и благоприятных условий проживания граждан"</t>
  </si>
  <si>
    <t>Мероприятия, осуществляемые органами местного самоуправления, в рамках непрограммных направлений расходов</t>
  </si>
  <si>
    <t>Приведенение в нормативное состояние ЗСО</t>
  </si>
  <si>
    <t>Постановление администрации ОМР от 02.12.2019  № 1156  "Об установлении расходного обязательства по развитию инфраструктуры Осинского городского округа"</t>
  </si>
  <si>
    <t>Содержание сетей уличного освещения (поставка электроэнергии)</t>
  </si>
  <si>
    <t>2100000005</t>
  </si>
  <si>
    <t>Оказание содействия органам местного самоуправления муниципальных образований Пермского края в решении вопросов местного значения, осуществляемых с участием средств самообложения граждан</t>
  </si>
  <si>
    <t>Постановление ППК от 13.04.2011 N 188-п "Об утверждении Порядка предоставления из бюджета Пермского края субсидий бюджетам муниципальных образований Пермского края на решение вопросов местного значения, осуществляемых с участием средств самообложения граждан, и Методики распределения из бюджета Пермского края субсидий бюджетам муниципальных образований Пермского края на решение вопросов местного значения, осуществляемых с участием средств самообложения граждан"</t>
  </si>
  <si>
    <t>раздел 5</t>
  </si>
  <si>
    <t>28.11.2019-бессрочно</t>
  </si>
  <si>
    <t>Софинансирование проектов инициативного бюджетирования (устройство детского спортивного комплекса на Комсомольской площади)</t>
  </si>
  <si>
    <t>Постановление ППК от 10.01.2017 № 6-п "Об утверждении Порядка предоставления субсидий из бюджета Пермского края бюджетам муниципальных образований Пермского края на софинансирование проектов инициативного бюджетирования в Пермском крае и Порядка проведения конкурсного отбора проектов инициативного бюджетирования краевой конкурсной комиссией инициативного бюджетирования"</t>
  </si>
  <si>
    <t>16.09.2019-бессрочно</t>
  </si>
  <si>
    <t>Обеспечение деятельности органов местного самоуправления в рамках непрограммных направлений</t>
  </si>
  <si>
    <t xml:space="preserve">Решение Думы ОГО от 25.10.2019 № 36 "О денежном содержании муниципальных служащих органов местного самоуправления Осинского городского округа"  </t>
  </si>
  <si>
    <t>2100000004</t>
  </si>
  <si>
    <t>Оплата административного штрафа</t>
  </si>
  <si>
    <t>Мероприятия по организации оздоровления и отдыха детей (Администрирование)</t>
  </si>
  <si>
    <t>200002С140</t>
  </si>
  <si>
    <t xml:space="preserve">Постановление ППК от 29.03.2010 № 129-п "О субвенциях из регионального фонда компенсаций на выполнение государственных полномочий по организации оздоровления и отдыха детей" </t>
  </si>
  <si>
    <t>29.03.2010-не установлен</t>
  </si>
  <si>
    <t>Приведение в нормативное состояние зданий и помещений библиотек</t>
  </si>
  <si>
    <t>0810100014</t>
  </si>
  <si>
    <t>Основное мероприятие "Обеспечение качественно нового уровня развития инфраструктуры культуры" музыкальных инструментов, оборудования и материалов для детских школ искусств, находящихся в ведении муниципальных образований в сфере культуры в 2020 году</t>
  </si>
  <si>
    <t>Приобретение в рамках федерального проекта "Обеспечение качественно нового уровня развития инфраструктуры" музыкальных инструментов, оборудования и материалов для детских школ искусств по видам искусств, находящихся в введении муниципальных образований в сфере культуры в 2020 году</t>
  </si>
  <si>
    <t>080А100000</t>
  </si>
  <si>
    <t>080А155190</t>
  </si>
  <si>
    <t>Постановление ППК 13.12.2019 № 904-п "Об утверждении распределения субсидий в сфере культуры из бюджета Пермского края бюджетам муниципальных образований Пермского края в 2020 году"</t>
  </si>
  <si>
    <t>13.12.2019-31.12.2020</t>
  </si>
  <si>
    <t>0720100020</t>
  </si>
  <si>
    <t>Приведение в нормативное состояние объектов и сооружений для занятий физической культурой и спортом</t>
  </si>
  <si>
    <t>Реализация программ развития преобразованных муниципальных образований (устройство спортивной площадки (хоккейный корт))</t>
  </si>
  <si>
    <t>Создание системы "барьеров", направленных на предупреждение и пресечение правонарушений</t>
  </si>
  <si>
    <t>0500500001</t>
  </si>
  <si>
    <t>Обеспечение жилыми помещениями реабилитированных лиц, имеющих инвалидность или являющихся пенсионерами, и проживающих совместно членов их семей</t>
  </si>
  <si>
    <t>Единая субвенция на выполнение отдельных государственных полномочий органов государственной власти в сфере образования (соц.поддержка педагогических работников)</t>
  </si>
  <si>
    <t>Предоставление мер социальной пожжержки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</si>
  <si>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Постановление администрации ОМР от 02.12.2019 № 1152 "Об утверждении расходного обязательства по благоустройству территории Осинского городского округа"; Постановление ППК от 20.03.2018 № 136-п Об утверждении Порядка предоставления, распределения и расходования субсидий из бюджета Пермского края бюджетам муниципальных образований Пермского края на реализацию мероприятий, направленных на поддержку муниципальных программ формирования современной городской среды"</t>
  </si>
  <si>
    <t>п.3; в целом</t>
  </si>
  <si>
    <t>01.01.2020-бессрочно; 02.12.2019-бессрочно</t>
  </si>
  <si>
    <t>УРЭиИЗО</t>
  </si>
  <si>
    <t>200002С090</t>
  </si>
  <si>
    <t>Обеспечение функций управления развития экономики, имущественных и земельных отношений администрации Осинского городского округа</t>
  </si>
  <si>
    <t>2000000015</t>
  </si>
  <si>
    <t xml:space="preserve">Расходы по ликвидационной комиссии </t>
  </si>
  <si>
    <t xml:space="preserve">Постановление мирового судьи судебного участка №1 Осинского судеб.района от 08.11.2019 по делу № 5-1196/2019 </t>
  </si>
  <si>
    <t>Решение Думы ОГО от 13.12.2019 № 79 "Об утверждении Порядка материально – технического и организационного обеспечения деятельности органов местного самоуправления Осинского городского округа"</t>
  </si>
  <si>
    <t>13.12.2019-бессрочно</t>
  </si>
  <si>
    <t>предупреждение банкротства и восстановление платежеспособности МУП "Тепловые сети"</t>
  </si>
  <si>
    <t>1010100111</t>
  </si>
  <si>
    <t>Проведение землеустроительных и комплексных кадастровых работ</t>
  </si>
  <si>
    <t>10201SЦ140</t>
  </si>
  <si>
    <t>Постановление ППК от 04.09.2019 N 623-п "О распределении субсидий из бюджета Пермского края бюджетам муниципальных районов, городских и муниципальных округов Пермского края на софинансирование расходов на разработку проектов межевания территории и проведение комплексных кадастровых работ на 2020 год"</t>
  </si>
  <si>
    <t>06.09.2019-31.12.2020</t>
  </si>
  <si>
    <t>Расходы на исполнение судебных актов</t>
  </si>
  <si>
    <t>830</t>
  </si>
  <si>
    <t xml:space="preserve">Исполнительные листы ФС №027494098, ФС №027494209, ФС №027494210, ФС №027494211 </t>
  </si>
  <si>
    <t>01.04.2020-31.12.2020</t>
  </si>
  <si>
    <t>11301SЖ520</t>
  </si>
  <si>
    <t>Проведение проектных работ и строительство распределительных газопроводов на территории муниципальных образований Пермского края</t>
  </si>
  <si>
    <t>21000SЖ330</t>
  </si>
  <si>
    <t>Постановление ППК от 25.03.2019 № 214-п "Об утверждении Порядка предоставления субсидий местным бюджетам на проведение проектных работ и строительство распределительных газопроводов на территории муниципальных образований Пермского края в рамках Региональной программы газификации жилищно-коммунального хозяйства, промышленных и иных организаций Пермского края на 2017-2021 годы"; Постановление ППК от 24.04.2019 N 295-п "Об утверждении распределения субсидий из бюджета Пермского края бюджетам муниципальных образований Пермского края на проведение проектных работ и строительство распределительных газопроводов на территории муниципальных образований Пермского края на 2019-2020 годы"</t>
  </si>
  <si>
    <t>п.1.4 Порядка; п.1</t>
  </si>
  <si>
    <t>25.03.2019-31.12.2021; 24.04.2019-31.12.2020</t>
  </si>
  <si>
    <t>09001SP060</t>
  </si>
  <si>
    <t>09001SP080</t>
  </si>
  <si>
    <t>09001L5765</t>
  </si>
  <si>
    <t>2000000014</t>
  </si>
  <si>
    <t>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t>
  </si>
  <si>
    <t>210002С260</t>
  </si>
  <si>
    <t>УФ</t>
  </si>
  <si>
    <t>2000000012</t>
  </si>
  <si>
    <t>3402</t>
  </si>
  <si>
    <t xml:space="preserve">Решение Думы ОГО от 25.10.2019 № 36 "О денежном содержании муниципальных служащих органов местного самоуправления Осинского городского округа"    </t>
  </si>
  <si>
    <t>Администрация ОГО</t>
  </si>
  <si>
    <t>0320100011</t>
  </si>
  <si>
    <t>Расходы по ликвидационной комиссии (выплаты главам и специалистам)</t>
  </si>
  <si>
    <t>08.11.2019-31.12.2019</t>
  </si>
  <si>
    <t>УОиСР</t>
  </si>
  <si>
    <t>Обеспечение выполнения функций управления образования и социального развития администрации Осинского городского округа</t>
  </si>
  <si>
    <t>2000000013</t>
  </si>
  <si>
    <t>Мероприятия по развитию инфраструктуры на туристских маршрутах</t>
  </si>
  <si>
    <t>08001SЦ570</t>
  </si>
  <si>
    <t>Постановление ППК от 30.12.2019 №1041-п "Об утверждении объемов субсидий бюджетам муниципальных образований Пермского края, предоставляемых из бюджета Пермского края на реализацию мероприятий по развитию инфраструктуры на туристских маршрутах, в 2020 году"</t>
  </si>
  <si>
    <t>01.01.2020-31.12.2020</t>
  </si>
  <si>
    <r>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t>
    </r>
    <r>
      <rPr>
        <b/>
        <sz val="11"/>
        <rFont val="Times New Roman"/>
        <family val="1"/>
      </rPr>
      <t>в сельской местности</t>
    </r>
    <r>
      <rPr>
        <sz val="11"/>
        <rFont val="Times New Roman"/>
        <family val="1"/>
      </rPr>
      <t>)</t>
    </r>
  </si>
  <si>
    <t>02201SН220</t>
  </si>
  <si>
    <t>Реализация мероприятий в сфере молодежной политики</t>
  </si>
  <si>
    <t>Постановление ППК от 24.01.2020 №27-п "Об утверждении объемов субсидий бюджетам муниципальных образований Пермского края, предоставляемых из бюджета Пермского края на реализацию мероприятий в сфере молодежной политики, в 2020 году"</t>
  </si>
  <si>
    <t>24.01.2020 - 31.12.2020</t>
  </si>
  <si>
    <t>Приведение в нормативное состояние здания МБОУ "ДШИ" по адресу г.Оса, ул.Ленина,4а</t>
  </si>
  <si>
    <t>0800100024</t>
  </si>
  <si>
    <t>3296</t>
  </si>
  <si>
    <t>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</si>
  <si>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021012С020</t>
  </si>
  <si>
    <t>Обеспечение жильем молодых семей (10%)</t>
  </si>
  <si>
    <t>Постановление ППК от 17.12.2019 №931-п Об утверждении распределения средств бюджета Пермского края на предоставление социальных выплат молодым семьям в рамках подпрограммы 1 "Социальная поддержка семей с детьми. Профилактика социального сиротства и защита прав детей-сирот" государственной программы "Социальная поддержка жителей Пермского края", утвержденной Постановлением Правительства Пермского края от 3 октября 2013 г. N 1321-п, в 2020-2022 годах</t>
  </si>
  <si>
    <t>01.01.2020-31.12.2022</t>
  </si>
  <si>
    <t>02101L4970</t>
  </si>
  <si>
    <t>Обеспечение жильем молодых семей в рамках федеральной целевой программы "Обеспечение доступным и комфортным жильем и коммунальными услугами граждан РФ (35%)</t>
  </si>
  <si>
    <t>071012Ф180</t>
  </si>
  <si>
    <t>Обеспечение условий для развития физической культуры и массового спорта</t>
  </si>
  <si>
    <t>Постановление ППК от 24.12.2019 №979-п "Об утверждении распределения иных межбюджетных трансфертов из бюджета Пермского края бюджетам городских и муниципальных округов (районов) Пермского края на обеспечение условий для развития физической культуры и спорта на 2020 год"</t>
  </si>
  <si>
    <t>01.01.2020-31.12.2022; 01.01.2020- бессрочно</t>
  </si>
  <si>
    <t>Устройство спортивных площадок и оснащение объектов спортивным оборудованием и инвентарем для занятий физической культурой и спортом</t>
  </si>
  <si>
    <t>Постановление ППК от 21.12.2018 №849-п "О распределении субсидий из бюджета Пермского края бюджетам муниципальных образований Пермского края на 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 в 2019-2021 годах"</t>
  </si>
  <si>
    <t>01.01.2019-31.12.2021</t>
  </si>
  <si>
    <t>07201SФ130</t>
  </si>
  <si>
    <t>Закон ПК от 23.12.2006 N 46-КЗ "О наделении органов местного самоуправления ПК отдельными государственными полномочиями в сфере образования"; Постановление ППК от 21.03.2014 N 179-п "Об утверждении Порядка предоставления и расходования субвенций из бюджета ПК бюджетам муниципальных районов и городских округов ПК на осуществление отдельных государственных полномочий в сфере образования", Постановление администрации ОМР от 29.06.2016 № 239 "Об утверждении Порядка расходования субвенций из бюджета ПК на реализацию государственных полномочий ПК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Осинского муниципального района"; Постановление администрации ОМР от 29.06.2016 № 237 "Об утверждении Порядка предоставления и расходования субвенций из бюджета ПК на выполнение отдельных государственных полномочий в сфере образования"</t>
  </si>
  <si>
    <t>2623</t>
  </si>
  <si>
    <t>Постановление Правительства Пермского края от 29.03.2019 № 227-п "Об утверждении региональной адресной программы по переселению граждан из аварийного жилищного фонда на территории Пермского края на 2019-2025 годы"</t>
  </si>
  <si>
    <t>п.5.3</t>
  </si>
  <si>
    <t>28.10.2019-31.12.2025</t>
  </si>
  <si>
    <t>Расходы по ликвидационной комиссии</t>
  </si>
  <si>
    <t>Постановление администрации ОМР 09.12.2019 № 1163 "О проведении конкурса снежных городков и снежных скульптур "Новогодняя фантазия"</t>
  </si>
  <si>
    <t>09.12.2019-бессрочно</t>
  </si>
  <si>
    <t>Реализация мероприятий по модернизации региональных и муниципальных детских школ искусств по видам искусств (ремонт здания МБОУ "ДШИ" по адресу: г.Оса,ул.Ленина,4а)</t>
  </si>
  <si>
    <t>08001L3060</t>
  </si>
  <si>
    <t>612</t>
  </si>
  <si>
    <t>Расходы по предупреждению распространения инфекции, вызванной новым коронавирусом COVID-2019</t>
  </si>
  <si>
    <t>2100000009</t>
  </si>
  <si>
    <t>Распоряжение администрации ОГО от 15.04.2020 №34 "О выделении бюджетных ассигнований из резервоного фонда"</t>
  </si>
  <si>
    <t>03.04.2020-31.12.2020</t>
  </si>
  <si>
    <t>10101SP180</t>
  </si>
  <si>
    <t>реализация программ развития преобразованных муниципальных образований (приобретение судна на воздушной подушке для организации транспортной доступности населенных пунктов)</t>
  </si>
  <si>
    <t>Постановление ППК от 21.11.2018 N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t>
  </si>
  <si>
    <t>Проектирование, строительство (реконструкция), капитальный ремонт и ремонт автомобильных дорог общего пользования местного значения, находящихся на территории Пермского края</t>
  </si>
  <si>
    <t>0610100010</t>
  </si>
  <si>
    <t>Постановление ППК от 06.11.2019 №802-п "Об утверждении распределения иных межбюджетных трансфертов, предоставляемых бюджетам муниципальных образований Пермского края на возмещение хозяйствующим субъектам недополученных доходов от перевозки на территории Пермского края отдельных категорий граждан с использованием социальных проездных документов за счет средств бюджета Пермского края, на 2020 год и на плановый период 2021-2022 годов и о внесении изменений в отдельные постановления Правительства Пермского края в сфере организации транспортного обслуживания населения"</t>
  </si>
  <si>
    <t>Возмещение затрат, связанных с организацией перевозки отдельных категорий граждан с использованием электронных социальных проездных документов, а также недополученных доходов юридическим лицам, индивидуальным предпринимателям от перевозки отдельных категорий граждан с использованием электронных социальных проездных документов</t>
  </si>
  <si>
    <t>210002С420</t>
  </si>
  <si>
    <t>Постановление ППК от 03.10.2013 №1321-п "Государственная программа «Социальная поддержка жителей Пермского края»</t>
  </si>
  <si>
    <t>п.5.4</t>
  </si>
  <si>
    <t>03.10.2013-бессрочно</t>
  </si>
  <si>
    <t>в целом; п.2, п.2</t>
  </si>
  <si>
    <t xml:space="preserve"> 30.05.2018-не установлен, 27.02.2020-не установлен, 27.02.2020-не установлен</t>
  </si>
  <si>
    <t>код строки</t>
  </si>
  <si>
    <t>21000SC240</t>
  </si>
  <si>
    <t>08001R3060</t>
  </si>
  <si>
    <t>Оснащение оборудованием образовательных организаций, реализующих программы дошкольного образования, в соответствии с требованиями федерального государственного образовательного стандарта дошкольного образования</t>
  </si>
  <si>
    <t>041012Н420</t>
  </si>
  <si>
    <t>Обеспечение малоимущих семей, имеющих детей в возрасте от 3 до 7 лет, наборами продуктов питания</t>
  </si>
  <si>
    <t>0410123100</t>
  </si>
  <si>
    <t>Единовременная премия обучающимся, награжденным знаком отличия Пермского края "Гордость Пермского края"</t>
  </si>
  <si>
    <t>0410170450</t>
  </si>
  <si>
    <t>0710100022</t>
  </si>
  <si>
    <t>Основное мероприятие "Федеральный проект "Современная школа"</t>
  </si>
  <si>
    <t>041Е000000</t>
  </si>
  <si>
    <t>Поддержка образования для детей с ограниченными возможностями здоровья</t>
  </si>
  <si>
    <t>041Е151870</t>
  </si>
  <si>
    <t>Реализация мероприятий по предотвращению распространения и уничтожению борщевика Сосновского в муниципальных образованиях Пермского края</t>
  </si>
  <si>
    <t>09001SУ200</t>
  </si>
  <si>
    <t>Постановление ППК от 13.05.2020 №312-п "Об утверждении распределения субсидий из бюджета Пермского края бюджетам муниципальных образований Пермского края на реализацию мероприятий по предотвращению распространения и уничтожению борщевика Сосновского в муниципальных образованиях Пермского края на 2020-2022 годы"</t>
  </si>
  <si>
    <t>13.05.2020-бессрочно</t>
  </si>
  <si>
    <t>Постановление администрации ОМР от 21.11.2019  № 1109 "Об установлении расходного обязательства по вопросам местного значения в сфере управления земельными ресурсами и имуществом Осинского городского округа"; Постановление администрации ОГО от 05.06.2020 № 288 "О утверждении Порядка предоставления субсидий юридическим лицам (за исключением субсидий муниципальным учреждениям) индивидуальным предпринимателям, а также физическим лицам - производителям товаров, работ, услуг системы жилищно-коммунального хозяйства на возмещение недополученных доходов и (или) финансового обеспечения (возмещения) затрат в связи с производством (реализацией) товаров, выполнением работ, оказанием услуг из бюджета осинского городского округа"</t>
  </si>
  <si>
    <t>п.3                                              п.3.2 Порядка</t>
  </si>
  <si>
    <t>01.01.2020-бессрочно; 11.03.2020-бессрочно</t>
  </si>
  <si>
    <t xml:space="preserve">Постановление Правительства Пермского края от 17.03.2020 №107-п О распределении иных межбюджетных трансфертов
между муниципальными образованиями Пермского края
на оснащении оборудованием муниципальных образовательных
организаций, реализующих программы дошкольного образования,
в соответствии с требованиями Федерального Государственного
образовательного стандарта  дошкольного образования
в 2020-2022 Годах
</t>
  </si>
  <si>
    <t>п.4.5</t>
  </si>
  <si>
    <t xml:space="preserve">Постановление правительства Пермского края
от 14 августа 2015 г. N 536-п
О награждении знаком отличия Пермского края "Гордость
Пермского края" обучающихся образовательных организаций Пермского края
</t>
  </si>
  <si>
    <t>14.08.2015- не ограничен</t>
  </si>
  <si>
    <t>Закон Пермского края от 25.03.2020 №526-ПК О внесении изменений в закон Пермского края "О бюджете Пермского края на 2020 год и плановый период 2021-2022 годов</t>
  </si>
  <si>
    <t>0710100021</t>
  </si>
  <si>
    <t>Единовременные выплаты работникам образовательных организаций, обеспечившим дистанционное обучение учащихся и работу дошкольных дежурных групп</t>
  </si>
  <si>
    <t>0410123370</t>
  </si>
  <si>
    <t>Распоряжение Правительства Пермского края от 03.06.2020 № 143-рп О выделении бюджетных ассигнований резервного фонда Правительства Пермского края на единовременные выплаты работникам 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(COVID-19)</t>
  </si>
  <si>
    <t xml:space="preserve">Постановление Правительства ПК от 15 апреля 2020 г. N 209-п
О предоставлении иных межбюджетных трансфертов бюджетам муниципальных  и городских округов, муниципальных районах Пермского края для обеспечения малоимущих семей, имеющих
детей в возрасте от 3 до 7 лет, наборами продуктов питания
</t>
  </si>
  <si>
    <t>Закон ПК от 28.12.2007 № 172-ПК "О наделении органов местного самоуправления ПК государственными полномочиями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Постановление ППК от 30.05.2018 N 294-п "Об утверждении Порядка предоставления и расходования субвенций из бюджета Пермского края бюджетам муниципальных районов и городских округов ПК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общеобразовательных организациях"; Постановление администрации ОМР от 27 февраля 2020 г. N 196 "Об утверждении Порядка предоставления и расходования субвенций из бюджета ПК на реализацию государственных полномочий ПК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ОГО"; Постановление администрации ОМР от 27.02.2020 № 195 "Об утверждении Порядка предоставления и расходования субвенций из бюджета Пермского края на выполнение отдельных государственных полномочий в сфере образования"</t>
  </si>
  <si>
    <t>0120100020</t>
  </si>
  <si>
    <t>0120100010</t>
  </si>
  <si>
    <t>0120100030</t>
  </si>
  <si>
    <t>Муниципальная программа "Комплексное развитие сельских территорий Осинского городского округа"</t>
  </si>
  <si>
    <t>1600000000</t>
  </si>
  <si>
    <t>Подпрограмма "Улучшение жилищных условий граждан, проживающих на сельских территориях Осинского городского округа"</t>
  </si>
  <si>
    <t>1610000000</t>
  </si>
  <si>
    <t>16101L5761</t>
  </si>
  <si>
    <t>Постановление администрации ОГО от 02.10.2020 № 850 "Об утверждении Порядка предоставления грантов в форме субсидий из бюджета Осинского городского округа некоммерческим организациям по конкурсу социально-культурных проектов, направленных на формирование здорового образа жизни и патриотическое воспитание детей и молодежи "Время действовать", реализуемого в рамках муниципальной программы "Молодежная политикаОсинского городского округа"</t>
  </si>
  <si>
    <t>п.1; п.1.3 Порядка</t>
  </si>
  <si>
    <t>02.10.2020-бессрочно</t>
  </si>
  <si>
    <t>0800100034</t>
  </si>
  <si>
    <t>Приведение в нормативное состояние зданий культуры МБУ "ОЦКиД"</t>
  </si>
  <si>
    <t>01.01.2020-бессрочно; 01.01.2020-31.12.2022; 01.01.2020-бессрочно</t>
  </si>
  <si>
    <t>Постановление администрации ОМР от 10.12.2019 №1177 "Об установлении расходного обязательства по вопросам местного значения в сфере культуры"</t>
  </si>
  <si>
    <t>Постановление администрации ОМР от 01.11.2019 №1014 "Об утверждении Порядка определения нормативных затрат,  на оказание муниципальных услуг (выполнение работ) в сфере культуры,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ОМР от 20.09.2019 №833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Постановление администрации ОМР от 10.12.2019 №1177 "Об установлении расходного обязательства по вопросам местного значения в сфере культуры"</t>
  </si>
  <si>
    <t>Постановление администрации ОГО № 50 от 06.04.2020 "Об утверждении Положения о порядке использования бюджетных ассигнований резервного фонда администрации Осинского городского округа"</t>
  </si>
  <si>
    <t>05004SП020</t>
  </si>
  <si>
    <t>Основное мероприятие "Снижение уровня преступности и повышение роли общественности в укреплении законности и правопорядка на территории Осинского городского округа"</t>
  </si>
  <si>
    <t>0500400000</t>
  </si>
  <si>
    <t xml:space="preserve">                   01.01.2020-бессрочно 01.01.2018-бессрочно</t>
  </si>
  <si>
    <t xml:space="preserve">       Постановление администрации ОМР от 19.11.2019 № 1064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                                                                                         Постановление администрации ОМР от 09.11.2017 № 556 "Об утверждении нормативных затрат на мероприятия, предусмотренные муниципальными программами ОМР" </t>
  </si>
  <si>
    <t xml:space="preserve"> п. 3;                         в целом</t>
  </si>
  <si>
    <t>Решение Думы  ОГО от 28.08.2020 № 214 "Об утверждении Положения о представительских расходах и расходах на проведение мероприятий органов местного самоуправления Осинского городского округа"</t>
  </si>
  <si>
    <t>Постановление администрации ОГО от 22.04.2020 № 87 "Об утверждении Положения об оплате труда рабочих администрации Осинского городского округа"</t>
  </si>
  <si>
    <t>п.5</t>
  </si>
  <si>
    <t>Решение Думы ОГО от 27.02.2020 № 122 "Об утверждении Положения о денежном содержании выборных должностных лиц Осинского городского округа, осуществляющих свои полномочия на постоянной основе"</t>
  </si>
  <si>
    <t>статья .5</t>
  </si>
  <si>
    <t>27.02.2020-бессрочно</t>
  </si>
  <si>
    <t xml:space="preserve">Решение Думы ОГО от 28.08.2020 № 205 "Об утверждении Положения о пенсии за выслугу лет лицам, замещавшим муниципальные должности в органах местного самоуправления Осинского муниципального района, поселениях Осинского муниципального района, в Осинском городском округе на постоянной основе". Решение Думы ОГО от 28.08.2020 № 206 "Об утверждении Положения о пенсии за выслугу лет лицам, замещавшим должности муниципальной службы в органах местного самоуправления Осинского муниципального района, поселениях Осинского муниципального района, в Осинском городском округе".         </t>
  </si>
  <si>
    <t>п.7; п. 8</t>
  </si>
  <si>
    <t>11.03.2020-бессрочно; 11.03.2020-бессрочно;</t>
  </si>
  <si>
    <t>11.03.2020- бессрочно</t>
  </si>
  <si>
    <t>11.03.2020 бессрочно</t>
  </si>
  <si>
    <t>Постановление администрации ОМР от 30.12.2019 № 1297 "Об утверждении Положения о системе оплаты труда работников муниципального казенного учреждения"Транспортник"</t>
  </si>
  <si>
    <t>Улучшение качества систем теплоснабжения на территориях муниципальных образований (Возмещение экономически обоснованного размера убытков МУП "Тепловые сети")</t>
  </si>
  <si>
    <t>11301SЖ200</t>
  </si>
  <si>
    <t>14001SЖ092</t>
  </si>
  <si>
    <t>Обеспечение технического развития систем теплоснабжения, находящихся в муниципальной собственности,включающих разработку (корректировку) проектной документации, строительство, реконструкцию, модернизацию, капитальный ремонт, техническое перевооружение объектов систем теплоснабжения муниципальных образований</t>
  </si>
  <si>
    <t xml:space="preserve">01.01.2020-бессрочно; 26.05.2020-бессрочно
</t>
  </si>
  <si>
    <t>Постановление администрации ОМР от 02.12.2019  № 1156  "Об установлении расходного обязательства по развитию инфраструктуры Осинского городского округа"; Постановление ППК от 29.04.2019 №318-п Об утверждении Порядка предоставления субсидий из бюджета Пермского края бюджетам муниципальных образований Пермского края на софинансирование мероприятий по качественному функционированию систем теплоснабжения на территориях муниципальных образований Пермского края</t>
  </si>
  <si>
    <t>ПО ПОПРАВКАМ "ДЕКАБРЬ"</t>
  </si>
  <si>
    <t>Обеспечение жилыми помещениями реабилитированных лиц, имеющих инвалидность или являющихся пенсионерами, и проживающих совместно членов их семей (Администрирование)</t>
  </si>
  <si>
    <t>Поошрение за достижение показателей деятельности управленческих команд</t>
  </si>
  <si>
    <t>01.01.2020-31.12.2021</t>
  </si>
  <si>
    <t>04101L3040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</si>
  <si>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</si>
  <si>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Постановление администрации ОГО от 12.10.2020 № 904 "Об установлении расходного обязательства по вопросам местного значения в области общего образования и кадровой политики"</t>
  </si>
  <si>
    <t>12.10.2020-бессрочно</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</si>
  <si>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</si>
  <si>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0410153030</t>
  </si>
  <si>
    <t>210005134F</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</si>
  <si>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за счет средств резервного фонда Правительства Российской Федерации</t>
  </si>
  <si>
    <t>041012Н440</t>
  </si>
  <si>
    <t>200002P110</t>
  </si>
  <si>
    <t>Конкурс городских и муниципальных округов Пермского края по достижению наиболее результативных значений показателей управленческой деятельности</t>
  </si>
  <si>
    <t>2100000010</t>
  </si>
  <si>
    <t>Выплата компенсации при увольнении руководителя бюджетного учреждения</t>
  </si>
  <si>
    <t>Постановление администрации ОГО от 22.10.2020 № 944 "Об установлении расходного обязательства по выплате компенсации при увольнении руководителя образовательного учреждения"</t>
  </si>
  <si>
    <t>22.10.2020-бессрочно</t>
  </si>
  <si>
    <t>1010100201</t>
  </si>
  <si>
    <t>1010100202</t>
  </si>
  <si>
    <t>Проведение технической экспертизы, изготовление технической документации на объекты муниципальной недвижимости, получение сведений об объектах учета</t>
  </si>
  <si>
    <t>Проведение независимой оценки рыночной стоимости объектов муниципальной собственности</t>
  </si>
  <si>
    <t>Выполнение инвентаризации и кадастровых работ объектов недвижимости</t>
  </si>
  <si>
    <t>1010100204</t>
  </si>
  <si>
    <t>1020100201</t>
  </si>
  <si>
    <t>1020100204</t>
  </si>
  <si>
    <t>Ведение претензионно-исковой работы по взысканию задолженности по арендной плате за земельные участки</t>
  </si>
  <si>
    <t>1020100205</t>
  </si>
  <si>
    <t>Направление уведомлений об оплате арендных платежей</t>
  </si>
  <si>
    <t>Консультационное и технологическое сопровождение автоматизированной программы по управлению арендой земельных участков</t>
  </si>
  <si>
    <t>1020100206</t>
  </si>
  <si>
    <t>Выплата стимулирующего характера за особые условия труда и дополнительную нагрузку работникам органов записи актов гражданского состояния, осуществлявших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t>
  </si>
  <si>
    <t>0114</t>
  </si>
  <si>
    <t>2000058790</t>
  </si>
  <si>
    <t>1020100101</t>
  </si>
  <si>
    <t>Выполнение кадастровых работ с установлением границ земельных участков на местности, находящихся в распоряжении округа, государственная собственность на которые не разграничена</t>
  </si>
  <si>
    <t>1020100105</t>
  </si>
  <si>
    <t>1020100107</t>
  </si>
  <si>
    <t>Проведение работ по оценке рыночной стоимости земельных участков</t>
  </si>
  <si>
    <t>Проведение кадастровых работ по образованию земельных участков из земельных долей, находящихся в собственности городского округа</t>
  </si>
  <si>
    <t>Разработка проектов межевания территории и проведение комплексных кадастровых работ</t>
  </si>
  <si>
    <t>1010100000</t>
  </si>
  <si>
    <t>0320100031</t>
  </si>
  <si>
    <t xml:space="preserve">Решение Думы ОГО от 28.12.2020 № 264 + краевые средства </t>
  </si>
  <si>
    <t>Постановление Правительства Пермского края от 28.12.2020 № 1035-п О предоставлении в 2020 году иных межбюджетных трансфертов из бюджета Пермского края бюджетам муниципальных образований Пермского края, источником финансового обеспечения которых являются бюджетные ассигнования резервного фонда Правительства Российской Федерации, в целях осуществления выплат стимулирующего характера за особые условия труда и дополнительную нагрузку работникам органов записи актов гражданского состояния муниципальных образований Пермского края, осуществлявших конвертацию и передачу записей актов гражданского состояния в Единый государственный реестр записей актов гражданского состояния</t>
  </si>
  <si>
    <t>28.12.2020-бессрочно</t>
  </si>
  <si>
    <t>200005549F</t>
  </si>
  <si>
    <t>Постановление Правительства Пермского края от 15.10.2019 № 741-п О конкурсе муниципальных районов, городских и муниципальных округов Пермского края по достижению наиболее результативных значений показателей управленческой деятельности</t>
  </si>
  <si>
    <t>17.10.2019-бессрочно</t>
  </si>
  <si>
    <t xml:space="preserve">Постановлением Правительства Пермского края от 25 декабря 2020 г. N 1032-п "О победителях конкурса городских и муниципальных округов Пермского края по достижению наиболее результативных значений показателей управленческой деятельности в 2020 году". Постановление администрации Осинского городского округа от 25.12.2020 г № 1334 "Об утверждении Порядка поощрения муниципальных управленческих команд".
</t>
  </si>
  <si>
    <t>25.12.2020-бессрочно</t>
  </si>
  <si>
    <t>Постановлением Правительства Пермского края от 25 декабря 2020 г. N 1032-п "О победителях конкурса городских и муниципальных округов Пермского края по достижению наиболее результативных значений показателей управленческой деятельности в 2020 году". Постановление администрации Осинского городского округа от 25.12.2020 г № 1334 "Об утверждении Порядка поощрения муниципальных управленческих команд".</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</si>
</sst>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dd/mm/yy"/>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quot;р.&quot;"/>
    <numFmt numFmtId="181" formatCode="#,##0.0&quot;р.&quot;"/>
    <numFmt numFmtId="182" formatCode="0.00000"/>
    <numFmt numFmtId="183" formatCode="0.000"/>
    <numFmt numFmtId="184" formatCode="0.0000"/>
    <numFmt numFmtId="185" formatCode="#,##0.000"/>
    <numFmt numFmtId="186" formatCode="mmm/yyyy"/>
    <numFmt numFmtId="187" formatCode="#,##0.00000"/>
    <numFmt numFmtId="188" formatCode="#,##0.0000"/>
    <numFmt numFmtId="189" formatCode="#,##0.0_ ;\-#,##0.0\ "/>
    <numFmt numFmtId="190" formatCode="000000"/>
    <numFmt numFmtId="191" formatCode="#,##0.000000"/>
    <numFmt numFmtId="192" formatCode="#,##0.0000000"/>
    <numFmt numFmtId="193" formatCode="#,##0.00000000"/>
    <numFmt numFmtId="194" formatCode="#,##0.000000000"/>
    <numFmt numFmtId="195" formatCode="#,##0.0000000000"/>
    <numFmt numFmtId="196" formatCode="#,##0.000_р_."/>
  </numFmts>
  <fonts count="58">
    <font>
      <sz val="10"/>
      <name val="Arial Cyr"/>
      <family val="0"/>
    </font>
    <font>
      <sz val="11"/>
      <color indexed="8"/>
      <name val="Calibri"/>
      <family val="2"/>
    </font>
    <font>
      <sz val="10"/>
      <color indexed="8"/>
      <name val="Times New Roman"/>
      <family val="1"/>
    </font>
    <font>
      <sz val="8"/>
      <name val="Arial Cyr"/>
      <family val="0"/>
    </font>
    <font>
      <sz val="8"/>
      <name val="Arial"/>
      <family val="2"/>
    </font>
    <font>
      <b/>
      <sz val="14"/>
      <name val="Times New Roman"/>
      <family val="1"/>
    </font>
    <font>
      <sz val="11"/>
      <name val="Times New Roman"/>
      <family val="1"/>
    </font>
    <font>
      <b/>
      <sz val="11"/>
      <name val="Times New Roman"/>
      <family val="1"/>
    </font>
    <font>
      <sz val="11"/>
      <color indexed="8"/>
      <name val="Times New Roman"/>
      <family val="1"/>
    </font>
    <font>
      <sz val="10"/>
      <name val="Times New Roman"/>
      <family val="1"/>
    </font>
    <font>
      <b/>
      <sz val="10"/>
      <name val="Times New Roman"/>
      <family val="1"/>
    </font>
    <font>
      <b/>
      <sz val="12"/>
      <name val="Times New Roman"/>
      <family val="1"/>
    </font>
    <font>
      <u val="single"/>
      <sz val="7.5"/>
      <color indexed="12"/>
      <name val="Arial Cyr"/>
      <family val="0"/>
    </font>
    <font>
      <u val="single"/>
      <sz val="7.5"/>
      <color indexed="36"/>
      <name val="Arial Cyr"/>
      <family val="0"/>
    </font>
    <font>
      <sz val="12"/>
      <name val="Times New Roman"/>
      <family val="1"/>
    </font>
    <font>
      <sz val="11"/>
      <color indexed="10"/>
      <name val="Times New Roman"/>
      <family val="1"/>
    </font>
    <font>
      <sz val="11"/>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1"/>
      <color indexed="10"/>
      <name val="Times New Roman"/>
      <family val="1"/>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1"/>
      <color rgb="FFFF0000"/>
      <name val="Times New Roman"/>
      <family val="1"/>
    </font>
    <font>
      <sz val="12"/>
      <color rgb="FFFF0000"/>
      <name val="Times New Roman"/>
      <family val="1"/>
    </font>
    <font>
      <sz val="11"/>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0"/>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30" borderId="0">
      <alignment/>
      <protection/>
    </xf>
    <xf numFmtId="0" fontId="13" fillId="0" borderId="0" applyNumberForma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3" borderId="0" applyNumberFormat="0" applyBorder="0" applyAlignment="0" applyProtection="0"/>
  </cellStyleXfs>
  <cellXfs count="395">
    <xf numFmtId="0" fontId="0" fillId="0" borderId="0" xfId="0" applyAlignment="1">
      <alignment/>
    </xf>
    <xf numFmtId="0" fontId="8" fillId="0"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49" fontId="6" fillId="0" borderId="11"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180" fontId="9" fillId="0" borderId="10" xfId="0" applyNumberFormat="1" applyFont="1" applyFill="1" applyBorder="1" applyAlignment="1">
      <alignment horizontal="center" vertical="center" wrapText="1"/>
    </xf>
    <xf numFmtId="185" fontId="6" fillId="0" borderId="0" xfId="0" applyNumberFormat="1" applyFont="1" applyFill="1" applyAlignment="1">
      <alignment horizontal="right" vertical="center" wrapText="1"/>
    </xf>
    <xf numFmtId="0" fontId="6"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0" fontId="6" fillId="0" borderId="0" xfId="0" applyFont="1" applyFill="1" applyAlignment="1">
      <alignment vertical="center"/>
    </xf>
    <xf numFmtId="0" fontId="9" fillId="0" borderId="10" xfId="0"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6" fillId="0" borderId="10" xfId="53" applyNumberFormat="1" applyFont="1" applyFill="1" applyBorder="1" applyAlignment="1">
      <alignment horizontal="left" vertical="center" wrapText="1"/>
      <protection/>
    </xf>
    <xf numFmtId="0" fontId="6"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49" fontId="6"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xf numFmtId="0" fontId="9" fillId="0" borderId="0" xfId="0" applyFont="1" applyFill="1" applyAlignment="1">
      <alignment horizontal="center" vertical="center"/>
    </xf>
    <xf numFmtId="0" fontId="5" fillId="0" borderId="0" xfId="0" applyFont="1" applyFill="1" applyAlignment="1">
      <alignment horizontal="center" vertical="center"/>
    </xf>
    <xf numFmtId="49" fontId="7" fillId="0" borderId="10" xfId="0" applyNumberFormat="1" applyFont="1" applyFill="1" applyBorder="1" applyAlignment="1">
      <alignment horizontal="center" vertical="center" wrapText="1"/>
    </xf>
    <xf numFmtId="0" fontId="7" fillId="0" borderId="0" xfId="0" applyFont="1" applyFill="1" applyAlignment="1">
      <alignment vertical="center"/>
    </xf>
    <xf numFmtId="0" fontId="6" fillId="0" borderId="10" xfId="0" applyNumberFormat="1" applyFont="1" applyFill="1" applyBorder="1" applyAlignment="1">
      <alignment vertical="center" wrapText="1"/>
    </xf>
    <xf numFmtId="0" fontId="6" fillId="0" borderId="10" xfId="0" applyFont="1" applyFill="1" applyBorder="1" applyAlignment="1">
      <alignment vertical="center"/>
    </xf>
    <xf numFmtId="49" fontId="9" fillId="0" borderId="10" xfId="0" applyNumberFormat="1" applyFont="1" applyFill="1" applyBorder="1" applyAlignment="1">
      <alignment vertical="center" wrapText="1"/>
    </xf>
    <xf numFmtId="0" fontId="6" fillId="0" borderId="0" xfId="0" applyFont="1" applyFill="1" applyBorder="1" applyAlignment="1">
      <alignment vertical="center"/>
    </xf>
    <xf numFmtId="49" fontId="9" fillId="0" borderId="1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49" fontId="15" fillId="0" borderId="1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0" fontId="6" fillId="0" borderId="13" xfId="0"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14" fillId="0" borderId="13" xfId="0" applyFont="1" applyFill="1" applyBorder="1" applyAlignment="1">
      <alignment horizontal="center" wrapText="1"/>
    </xf>
    <xf numFmtId="0" fontId="9" fillId="0" borderId="0" xfId="0" applyFont="1" applyFill="1" applyAlignment="1">
      <alignment horizontal="center" vertical="top" wrapText="1"/>
    </xf>
    <xf numFmtId="49" fontId="7" fillId="34" borderId="10" xfId="0" applyNumberFormat="1" applyFont="1" applyFill="1" applyBorder="1" applyAlignment="1">
      <alignment horizontal="center" vertical="center" wrapText="1"/>
    </xf>
    <xf numFmtId="0" fontId="7" fillId="34" borderId="10" xfId="0" applyNumberFormat="1" applyFont="1" applyFill="1" applyBorder="1" applyAlignment="1">
      <alignment horizontal="left" vertical="center" wrapText="1"/>
    </xf>
    <xf numFmtId="49" fontId="6" fillId="34" borderId="10" xfId="0" applyNumberFormat="1" applyFont="1" applyFill="1" applyBorder="1" applyAlignment="1">
      <alignment horizontal="center" vertical="center" wrapText="1"/>
    </xf>
    <xf numFmtId="0" fontId="9" fillId="34" borderId="10" xfId="0" applyNumberFormat="1" applyFont="1" applyFill="1" applyBorder="1" applyAlignment="1">
      <alignment horizontal="center" vertical="center" wrapText="1"/>
    </xf>
    <xf numFmtId="0"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6" fillId="0" borderId="14" xfId="0" applyFont="1" applyFill="1" applyBorder="1" applyAlignment="1">
      <alignment vertical="center"/>
    </xf>
    <xf numFmtId="49" fontId="9" fillId="35" borderId="10" xfId="0" applyNumberFormat="1" applyFont="1" applyFill="1" applyBorder="1" applyAlignment="1">
      <alignment horizontal="center" vertical="center" wrapText="1"/>
    </xf>
    <xf numFmtId="0" fontId="6" fillId="0" borderId="10" xfId="0" applyFont="1" applyFill="1" applyBorder="1" applyAlignment="1">
      <alignment wrapText="1" shrinkToFit="1"/>
    </xf>
    <xf numFmtId="0" fontId="0" fillId="0" borderId="10" xfId="0" applyFont="1" applyFill="1" applyBorder="1" applyAlignment="1">
      <alignment horizontal="center" vertical="center" wrapText="1"/>
    </xf>
    <xf numFmtId="49" fontId="6" fillId="0" borderId="10" xfId="0" applyNumberFormat="1" applyFont="1" applyBorder="1" applyAlignment="1">
      <alignment horizontal="center" vertical="center" wrapText="1"/>
    </xf>
    <xf numFmtId="0" fontId="6" fillId="35"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left" vertical="center"/>
    </xf>
    <xf numFmtId="0" fontId="6" fillId="0" borderId="10" xfId="0" applyFont="1" applyBorder="1" applyAlignment="1">
      <alignment horizontal="center" vertical="center" wrapText="1"/>
    </xf>
    <xf numFmtId="0" fontId="6" fillId="0" borderId="0" xfId="0" applyFont="1" applyAlignment="1">
      <alignment vertical="center"/>
    </xf>
    <xf numFmtId="0" fontId="6" fillId="35" borderId="10" xfId="0" applyFont="1" applyFill="1" applyBorder="1" applyAlignment="1">
      <alignment horizontal="center" vertical="center" wrapText="1"/>
    </xf>
    <xf numFmtId="49" fontId="6" fillId="35" borderId="10" xfId="0" applyNumberFormat="1" applyFont="1" applyFill="1" applyBorder="1" applyAlignment="1">
      <alignment vertical="center" wrapText="1"/>
    </xf>
    <xf numFmtId="2" fontId="9" fillId="0" borderId="10" xfId="0" applyNumberFormat="1" applyFont="1" applyFill="1" applyBorder="1" applyAlignment="1">
      <alignment horizontal="center" vertical="center" wrapText="1"/>
    </xf>
    <xf numFmtId="0" fontId="6" fillId="0" borderId="12" xfId="0" applyFont="1" applyFill="1" applyBorder="1" applyAlignment="1">
      <alignment vertical="center"/>
    </xf>
    <xf numFmtId="0" fontId="6" fillId="0" borderId="15" xfId="0" applyFont="1" applyFill="1" applyBorder="1" applyAlignment="1">
      <alignment vertical="center"/>
    </xf>
    <xf numFmtId="0" fontId="6" fillId="0" borderId="11" xfId="0" applyFont="1" applyFill="1" applyBorder="1" applyAlignment="1">
      <alignment vertical="center"/>
    </xf>
    <xf numFmtId="49" fontId="6" fillId="0" borderId="10" xfId="0" applyNumberFormat="1" applyFont="1" applyFill="1" applyBorder="1" applyAlignment="1">
      <alignment vertical="center" wrapText="1"/>
    </xf>
    <xf numFmtId="0" fontId="6" fillId="14" borderId="10" xfId="0" applyFont="1" applyFill="1" applyBorder="1" applyAlignment="1">
      <alignment vertical="center"/>
    </xf>
    <xf numFmtId="0" fontId="6" fillId="14" borderId="0" xfId="0" applyFont="1" applyFill="1" applyAlignment="1">
      <alignment vertical="center"/>
    </xf>
    <xf numFmtId="0" fontId="6" fillId="35" borderId="10" xfId="0" applyFont="1" applyFill="1" applyBorder="1" applyAlignment="1">
      <alignment vertical="center"/>
    </xf>
    <xf numFmtId="0" fontId="14" fillId="0" borderId="10" xfId="0" applyFont="1" applyFill="1" applyBorder="1" applyAlignment="1">
      <alignment horizontal="left" wrapText="1" shrinkToFit="1"/>
    </xf>
    <xf numFmtId="0" fontId="6" fillId="0" borderId="10" xfId="0" applyFont="1" applyFill="1" applyBorder="1" applyAlignment="1">
      <alignment horizontal="left" wrapText="1" shrinkToFit="1"/>
    </xf>
    <xf numFmtId="0" fontId="6" fillId="0" borderId="16" xfId="0" applyFont="1" applyFill="1" applyBorder="1" applyAlignment="1">
      <alignment vertical="center"/>
    </xf>
    <xf numFmtId="0" fontId="14" fillId="0" borderId="12" xfId="0" applyFont="1" applyFill="1" applyBorder="1" applyAlignment="1">
      <alignment horizontal="left" wrapText="1" shrinkToFit="1"/>
    </xf>
    <xf numFmtId="0" fontId="6" fillId="35" borderId="12"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0" fontId="6" fillId="35" borderId="0" xfId="0" applyFont="1" applyFill="1" applyBorder="1" applyAlignment="1">
      <alignment vertical="center"/>
    </xf>
    <xf numFmtId="0" fontId="6" fillId="14" borderId="0" xfId="0" applyFont="1" applyFill="1" applyBorder="1" applyAlignment="1">
      <alignment vertical="center"/>
    </xf>
    <xf numFmtId="0" fontId="14" fillId="0" borderId="0" xfId="0" applyFont="1" applyFill="1" applyBorder="1" applyAlignment="1">
      <alignment horizontal="left" wrapText="1" shrinkToFit="1"/>
    </xf>
    <xf numFmtId="0" fontId="6" fillId="0" borderId="0" xfId="0" applyFont="1" applyBorder="1" applyAlignment="1">
      <alignment vertical="center"/>
    </xf>
    <xf numFmtId="0" fontId="0" fillId="0" borderId="10" xfId="0" applyFont="1" applyFill="1" applyBorder="1" applyAlignment="1">
      <alignment vertical="center" wrapText="1"/>
    </xf>
    <xf numFmtId="0" fontId="6" fillId="0" borderId="10" xfId="0" applyFont="1" applyBorder="1" applyAlignment="1">
      <alignment vertical="center"/>
    </xf>
    <xf numFmtId="0" fontId="6" fillId="0" borderId="10" xfId="0" applyFont="1" applyBorder="1" applyAlignment="1">
      <alignment horizontal="center" vertical="center"/>
    </xf>
    <xf numFmtId="49" fontId="14" fillId="0" borderId="10" xfId="0" applyNumberFormat="1" applyFont="1" applyFill="1" applyBorder="1" applyAlignment="1">
      <alignment horizontal="center" vertical="center" wrapText="1" shrinkToFit="1"/>
    </xf>
    <xf numFmtId="0" fontId="11"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shrinkToFit="1"/>
    </xf>
    <xf numFmtId="49" fontId="6" fillId="12" borderId="10" xfId="0" applyNumberFormat="1" applyFont="1" applyFill="1" applyBorder="1" applyAlignment="1">
      <alignment horizontal="center" vertical="center" wrapText="1"/>
    </xf>
    <xf numFmtId="49" fontId="6" fillId="12" borderId="10" xfId="0" applyNumberFormat="1" applyFont="1" applyFill="1" applyBorder="1" applyAlignment="1">
      <alignment horizontal="left" vertical="top" wrapText="1"/>
    </xf>
    <xf numFmtId="0" fontId="6" fillId="12" borderId="10" xfId="0" applyNumberFormat="1" applyFont="1" applyFill="1" applyBorder="1" applyAlignment="1">
      <alignment horizontal="left" vertical="center" wrapText="1"/>
    </xf>
    <xf numFmtId="49" fontId="7" fillId="12" borderId="10" xfId="0" applyNumberFormat="1" applyFont="1" applyFill="1" applyBorder="1" applyAlignment="1">
      <alignment horizontal="center" vertical="center" wrapText="1"/>
    </xf>
    <xf numFmtId="49" fontId="9" fillId="12" borderId="10" xfId="0" applyNumberFormat="1" applyFont="1" applyFill="1" applyBorder="1" applyAlignment="1">
      <alignment horizontal="center" vertical="center" wrapText="1"/>
    </xf>
    <xf numFmtId="0" fontId="6" fillId="12" borderId="10" xfId="0" applyFont="1" applyFill="1" applyBorder="1" applyAlignment="1">
      <alignment horizontal="left" vertical="center" wrapText="1"/>
    </xf>
    <xf numFmtId="0" fontId="6" fillId="12" borderId="10" xfId="0" applyFont="1" applyFill="1" applyBorder="1" applyAlignment="1">
      <alignment horizontal="center" vertical="center" wrapText="1"/>
    </xf>
    <xf numFmtId="0" fontId="9" fillId="12" borderId="10" xfId="0" applyNumberFormat="1" applyFont="1" applyFill="1" applyBorder="1" applyAlignment="1">
      <alignment horizontal="center" vertical="center" wrapText="1"/>
    </xf>
    <xf numFmtId="0" fontId="6" fillId="12" borderId="10" xfId="0" applyNumberFormat="1" applyFont="1" applyFill="1" applyBorder="1" applyAlignment="1">
      <alignment horizontal="center" vertical="center" wrapText="1"/>
    </xf>
    <xf numFmtId="49" fontId="6" fillId="12" borderId="10" xfId="0" applyNumberFormat="1" applyFont="1" applyFill="1" applyBorder="1" applyAlignment="1">
      <alignment vertical="center" wrapText="1"/>
    </xf>
    <xf numFmtId="49" fontId="6" fillId="12" borderId="10" xfId="0" applyNumberFormat="1" applyFont="1" applyFill="1" applyBorder="1" applyAlignment="1">
      <alignment horizontal="left" vertical="center" wrapText="1"/>
    </xf>
    <xf numFmtId="0" fontId="6" fillId="12" borderId="10" xfId="0" applyNumberFormat="1" applyFont="1" applyFill="1" applyBorder="1" applyAlignment="1">
      <alignment vertical="center" wrapText="1"/>
    </xf>
    <xf numFmtId="0" fontId="7" fillId="12" borderId="10" xfId="0" applyNumberFormat="1" applyFont="1" applyFill="1" applyBorder="1" applyAlignment="1">
      <alignment horizontal="center" vertical="center" wrapText="1"/>
    </xf>
    <xf numFmtId="49" fontId="6" fillId="0" borderId="11" xfId="0" applyNumberFormat="1" applyFont="1" applyFill="1" applyBorder="1" applyAlignment="1">
      <alignment vertical="center" wrapText="1"/>
    </xf>
    <xf numFmtId="49" fontId="6" fillId="0" borderId="10" xfId="53" applyNumberFormat="1" applyFont="1" applyFill="1" applyBorder="1" applyAlignment="1">
      <alignment horizontal="center" vertical="center" wrapText="1"/>
      <protection/>
    </xf>
    <xf numFmtId="0" fontId="9" fillId="0" borderId="11" xfId="0" applyNumberFormat="1" applyFont="1" applyFill="1" applyBorder="1" applyAlignment="1">
      <alignment horizontal="center" vertical="center" wrapText="1"/>
    </xf>
    <xf numFmtId="2" fontId="9" fillId="35" borderId="10" xfId="0" applyNumberFormat="1" applyFont="1" applyFill="1" applyBorder="1" applyAlignment="1">
      <alignment horizontal="center" vertical="center" wrapText="1"/>
    </xf>
    <xf numFmtId="49" fontId="6" fillId="35" borderId="14" xfId="0" applyNumberFormat="1" applyFont="1" applyFill="1" applyBorder="1" applyAlignment="1">
      <alignment vertical="center" wrapText="1"/>
    </xf>
    <xf numFmtId="0" fontId="6" fillId="0" borderId="14" xfId="0" applyFont="1" applyFill="1" applyBorder="1" applyAlignment="1">
      <alignment vertical="center" wrapText="1"/>
    </xf>
    <xf numFmtId="0" fontId="6"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49" fontId="14" fillId="12" borderId="10" xfId="0" applyNumberFormat="1" applyFont="1" applyFill="1" applyBorder="1" applyAlignment="1">
      <alignment horizontal="center" vertical="center" wrapText="1"/>
    </xf>
    <xf numFmtId="0" fontId="9" fillId="12" borderId="10" xfId="0" applyFont="1" applyFill="1" applyBorder="1" applyAlignment="1">
      <alignment horizontal="center" vertical="center" wrapText="1"/>
    </xf>
    <xf numFmtId="49" fontId="7" fillId="34" borderId="10" xfId="0" applyNumberFormat="1" applyFont="1" applyFill="1" applyBorder="1" applyAlignment="1">
      <alignment horizontal="left" vertical="center" wrapText="1"/>
    </xf>
    <xf numFmtId="2" fontId="9" fillId="0" borderId="14" xfId="0" applyNumberFormat="1" applyFont="1" applyFill="1" applyBorder="1" applyAlignment="1">
      <alignment vertical="center" wrapText="1"/>
    </xf>
    <xf numFmtId="0" fontId="6" fillId="0" borderId="0" xfId="0" applyFont="1" applyAlignment="1">
      <alignment vertical="center" wrapText="1"/>
    </xf>
    <xf numFmtId="49" fontId="6" fillId="0" borderId="14" xfId="0" applyNumberFormat="1" applyFont="1" applyFill="1" applyBorder="1" applyAlignment="1">
      <alignment horizontal="center" vertical="center" wrapText="1"/>
    </xf>
    <xf numFmtId="49" fontId="6" fillId="35"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left" vertical="center" wrapText="1"/>
    </xf>
    <xf numFmtId="49" fontId="6" fillId="0" borderId="14" xfId="0" applyNumberFormat="1" applyFont="1" applyFill="1" applyBorder="1" applyAlignment="1">
      <alignment vertical="center" wrapText="1"/>
    </xf>
    <xf numFmtId="0" fontId="6" fillId="0" borderId="11" xfId="0" applyFont="1" applyFill="1" applyBorder="1" applyAlignment="1">
      <alignment vertical="center" wrapText="1"/>
    </xf>
    <xf numFmtId="0" fontId="14" fillId="0" borderId="14" xfId="0" applyFont="1" applyFill="1" applyBorder="1" applyAlignment="1">
      <alignment wrapText="1" shrinkToFit="1"/>
    </xf>
    <xf numFmtId="0" fontId="14" fillId="0" borderId="10" xfId="0" applyFont="1" applyFill="1" applyBorder="1" applyAlignment="1">
      <alignment wrapText="1" shrinkToFit="1"/>
    </xf>
    <xf numFmtId="0" fontId="6" fillId="0" borderId="11" xfId="0" applyFont="1" applyFill="1" applyBorder="1" applyAlignment="1">
      <alignment wrapText="1" shrinkToFit="1"/>
    </xf>
    <xf numFmtId="0" fontId="14" fillId="0" borderId="11" xfId="0" applyFont="1" applyFill="1" applyBorder="1" applyAlignment="1">
      <alignment vertical="center" wrapText="1"/>
    </xf>
    <xf numFmtId="0" fontId="6" fillId="0" borderId="11" xfId="0" applyFont="1" applyFill="1" applyBorder="1" applyAlignment="1">
      <alignment horizontal="left" vertical="center" wrapText="1"/>
    </xf>
    <xf numFmtId="0" fontId="6" fillId="12" borderId="10" xfId="0" applyFont="1" applyFill="1" applyBorder="1" applyAlignment="1">
      <alignment vertical="center" wrapText="1"/>
    </xf>
    <xf numFmtId="0" fontId="9" fillId="0" borderId="14" xfId="0" applyNumberFormat="1"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6" fillId="35" borderId="10" xfId="0" applyNumberFormat="1" applyFont="1" applyFill="1" applyBorder="1" applyAlignment="1">
      <alignment horizontal="left" vertical="center" wrapText="1"/>
    </xf>
    <xf numFmtId="0" fontId="7" fillId="0" borderId="12" xfId="0" applyFont="1" applyFill="1" applyBorder="1" applyAlignment="1">
      <alignment vertical="center"/>
    </xf>
    <xf numFmtId="0" fontId="7" fillId="0" borderId="10" xfId="0" applyFont="1" applyFill="1" applyBorder="1" applyAlignment="1">
      <alignment vertical="center"/>
    </xf>
    <xf numFmtId="182" fontId="6" fillId="0" borderId="0" xfId="0" applyNumberFormat="1" applyFont="1" applyFill="1" applyBorder="1" applyAlignment="1">
      <alignment vertical="center"/>
    </xf>
    <xf numFmtId="0" fontId="55" fillId="0" borderId="10" xfId="0" applyFont="1" applyFill="1" applyBorder="1" applyAlignment="1">
      <alignment horizontal="left" vertical="center" wrapText="1"/>
    </xf>
    <xf numFmtId="0" fontId="53" fillId="0" borderId="10" xfId="0" applyNumberFormat="1" applyFont="1" applyFill="1" applyBorder="1" applyAlignment="1">
      <alignment horizontal="center" vertical="center" wrapText="1"/>
    </xf>
    <xf numFmtId="49" fontId="56" fillId="0" borderId="10" xfId="0" applyNumberFormat="1"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49" fontId="9" fillId="35" borderId="17" xfId="0" applyNumberFormat="1" applyFont="1" applyFill="1" applyBorder="1" applyAlignment="1">
      <alignment vertical="center" wrapText="1"/>
    </xf>
    <xf numFmtId="49" fontId="6" fillId="35" borderId="17"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9" fillId="12" borderId="14" xfId="0" applyFont="1" applyFill="1" applyBorder="1" applyAlignment="1">
      <alignment horizontal="center" vertical="center" wrapText="1"/>
    </xf>
    <xf numFmtId="0" fontId="6" fillId="12" borderId="14" xfId="0" applyNumberFormat="1" applyFont="1" applyFill="1" applyBorder="1" applyAlignment="1">
      <alignment horizontal="center" vertical="center" wrapText="1"/>
    </xf>
    <xf numFmtId="0" fontId="6" fillId="12" borderId="14" xfId="0"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6" fillId="12" borderId="14" xfId="0" applyNumberFormat="1" applyFont="1" applyFill="1" applyBorder="1" applyAlignment="1">
      <alignment vertical="center" wrapText="1"/>
    </xf>
    <xf numFmtId="49" fontId="9" fillId="12" borderId="14" xfId="0" applyNumberFormat="1" applyFont="1" applyFill="1" applyBorder="1" applyAlignment="1">
      <alignment horizontal="center" vertical="center" wrapText="1"/>
    </xf>
    <xf numFmtId="49" fontId="6" fillId="12" borderId="14" xfId="0" applyNumberFormat="1" applyFont="1" applyFill="1" applyBorder="1" applyAlignment="1">
      <alignment horizontal="center"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wrapText="1"/>
    </xf>
    <xf numFmtId="0" fontId="6" fillId="0" borderId="10" xfId="0" applyFont="1" applyBorder="1" applyAlignment="1">
      <alignment horizontal="left" vertical="center" wrapText="1"/>
    </xf>
    <xf numFmtId="0" fontId="6" fillId="0" borderId="17" xfId="0" applyFont="1" applyFill="1" applyBorder="1" applyAlignment="1">
      <alignment horizontal="center" vertical="center" wrapText="1"/>
    </xf>
    <xf numFmtId="0" fontId="6" fillId="0" borderId="17" xfId="0" applyFont="1" applyFill="1" applyBorder="1" applyAlignment="1">
      <alignment horizontal="left" vertical="center" wrapText="1"/>
    </xf>
    <xf numFmtId="49" fontId="14" fillId="35" borderId="10" xfId="0" applyNumberFormat="1" applyFont="1" applyFill="1" applyBorder="1" applyAlignment="1">
      <alignment horizontal="center" vertical="center" wrapText="1"/>
    </xf>
    <xf numFmtId="49" fontId="6" fillId="0" borderId="14" xfId="0" applyNumberFormat="1" applyFont="1" applyFill="1" applyBorder="1" applyAlignment="1">
      <alignment horizontal="left" vertical="center" wrapText="1"/>
    </xf>
    <xf numFmtId="49" fontId="6" fillId="0" borderId="17" xfId="0" applyNumberFormat="1" applyFont="1" applyFill="1" applyBorder="1" applyAlignment="1">
      <alignment horizontal="center" vertical="center" wrapText="1"/>
    </xf>
    <xf numFmtId="2" fontId="9" fillId="0" borderId="14" xfId="0" applyNumberFormat="1" applyFont="1" applyFill="1" applyBorder="1" applyAlignment="1">
      <alignment horizontal="center" vertical="center" wrapText="1"/>
    </xf>
    <xf numFmtId="49" fontId="9" fillId="35" borderId="11" xfId="0" applyNumberFormat="1" applyFont="1" applyFill="1" applyBorder="1" applyAlignment="1">
      <alignment horizontal="center" vertical="center" wrapText="1"/>
    </xf>
    <xf numFmtId="49" fontId="9" fillId="35" borderId="14" xfId="0" applyNumberFormat="1" applyFont="1" applyFill="1" applyBorder="1" applyAlignment="1">
      <alignment horizontal="center" vertical="center" wrapText="1"/>
    </xf>
    <xf numFmtId="0" fontId="9" fillId="35" borderId="11" xfId="0" applyNumberFormat="1" applyFont="1" applyFill="1" applyBorder="1" applyAlignment="1">
      <alignment horizontal="center" vertical="center" wrapText="1"/>
    </xf>
    <xf numFmtId="0" fontId="9" fillId="35" borderId="14" xfId="0" applyNumberFormat="1" applyFont="1" applyFill="1" applyBorder="1" applyAlignment="1">
      <alignment horizontal="center" vertical="center" wrapText="1"/>
    </xf>
    <xf numFmtId="49" fontId="6" fillId="35" borderId="11" xfId="0" applyNumberFormat="1" applyFont="1" applyFill="1" applyBorder="1" applyAlignment="1">
      <alignment horizontal="center" vertical="center" wrapText="1"/>
    </xf>
    <xf numFmtId="49" fontId="6" fillId="35" borderId="14" xfId="0" applyNumberFormat="1" applyFont="1" applyFill="1" applyBorder="1" applyAlignment="1">
      <alignment horizontal="center" vertical="center" wrapText="1"/>
    </xf>
    <xf numFmtId="0" fontId="9" fillId="35" borderId="10" xfId="0" applyNumberFormat="1" applyFont="1" applyFill="1" applyBorder="1" applyAlignment="1">
      <alignment horizontal="center" vertical="center" wrapText="1"/>
    </xf>
    <xf numFmtId="0" fontId="7" fillId="0" borderId="0" xfId="0" applyFont="1" applyFill="1" applyAlignment="1">
      <alignment horizontal="center" vertical="center"/>
    </xf>
    <xf numFmtId="0" fontId="6" fillId="0" borderId="0" xfId="0" applyFont="1" applyFill="1" applyAlignment="1">
      <alignment horizontal="left" wrapText="1"/>
    </xf>
    <xf numFmtId="49" fontId="6" fillId="35" borderId="14" xfId="0" applyNumberFormat="1" applyFont="1" applyFill="1" applyBorder="1" applyAlignment="1">
      <alignment horizontal="center" vertical="center" wrapText="1"/>
    </xf>
    <xf numFmtId="49" fontId="14" fillId="35" borderId="11" xfId="0" applyNumberFormat="1" applyFont="1" applyFill="1" applyBorder="1" applyAlignment="1">
      <alignment horizontal="center" vertical="center" wrapText="1"/>
    </xf>
    <xf numFmtId="185" fontId="5" fillId="0" borderId="0" xfId="0" applyNumberFormat="1" applyFont="1" applyFill="1" applyAlignment="1">
      <alignment horizontal="center" vertical="center"/>
    </xf>
    <xf numFmtId="185" fontId="5" fillId="0" borderId="18" xfId="0" applyNumberFormat="1" applyFont="1" applyFill="1" applyBorder="1" applyAlignment="1">
      <alignment horizontal="center" vertical="center"/>
    </xf>
    <xf numFmtId="185" fontId="8" fillId="0" borderId="10" xfId="0" applyNumberFormat="1" applyFont="1" applyFill="1" applyBorder="1" applyAlignment="1" applyProtection="1">
      <alignment horizontal="center" vertical="center" wrapText="1"/>
      <protection/>
    </xf>
    <xf numFmtId="185" fontId="6" fillId="0" borderId="18" xfId="0" applyNumberFormat="1" applyFont="1" applyFill="1" applyBorder="1" applyAlignment="1">
      <alignment horizontal="right" vertical="center" wrapText="1"/>
    </xf>
    <xf numFmtId="0" fontId="6" fillId="0" borderId="0" xfId="0" applyFont="1" applyFill="1" applyAlignment="1">
      <alignment vertical="center" wrapText="1"/>
    </xf>
    <xf numFmtId="0" fontId="9" fillId="35" borderId="11" xfId="0" applyNumberFormat="1" applyFont="1" applyFill="1" applyBorder="1" applyAlignment="1">
      <alignment horizontal="center" vertical="center" wrapText="1"/>
    </xf>
    <xf numFmtId="0" fontId="9" fillId="35" borderId="14"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188" fontId="6" fillId="0" borderId="0" xfId="0" applyNumberFormat="1" applyFont="1" applyFill="1" applyAlignment="1">
      <alignment horizontal="right" vertical="center" wrapText="1"/>
    </xf>
    <xf numFmtId="0" fontId="9" fillId="35" borderId="11" xfId="0" applyNumberFormat="1" applyFont="1" applyFill="1" applyBorder="1" applyAlignment="1">
      <alignment horizontal="center" vertical="center" wrapText="1"/>
    </xf>
    <xf numFmtId="49" fontId="6" fillId="35" borderId="11" xfId="0" applyNumberFormat="1" applyFont="1" applyFill="1" applyBorder="1" applyAlignment="1">
      <alignment horizontal="center" vertical="center" wrapText="1"/>
    </xf>
    <xf numFmtId="49" fontId="9" fillId="35" borderId="11" xfId="0" applyNumberFormat="1" applyFont="1" applyFill="1" applyBorder="1" applyAlignment="1">
      <alignment horizontal="center" vertical="center" wrapText="1"/>
    </xf>
    <xf numFmtId="0" fontId="9" fillId="35" borderId="14"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49" fontId="14" fillId="0" borderId="10" xfId="0" applyNumberFormat="1" applyFont="1" applyFill="1" applyBorder="1" applyAlignment="1">
      <alignment horizontal="center" vertical="center"/>
    </xf>
    <xf numFmtId="49" fontId="6" fillId="35" borderId="14" xfId="0" applyNumberFormat="1"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49" fontId="6" fillId="35" borderId="11" xfId="0" applyNumberFormat="1" applyFont="1" applyFill="1" applyBorder="1" applyAlignment="1">
      <alignment horizontal="center" vertical="center" wrapText="1"/>
    </xf>
    <xf numFmtId="49" fontId="6" fillId="35" borderId="14" xfId="0" applyNumberFormat="1" applyFont="1" applyFill="1" applyBorder="1" applyAlignment="1">
      <alignment horizontal="center" vertical="center" wrapText="1"/>
    </xf>
    <xf numFmtId="0" fontId="6" fillId="35" borderId="10" xfId="0" applyFont="1" applyFill="1" applyBorder="1" applyAlignment="1">
      <alignment horizontal="center" vertical="center" wrapText="1"/>
    </xf>
    <xf numFmtId="187" fontId="7" fillId="34" borderId="10" xfId="0" applyNumberFormat="1" applyFont="1" applyFill="1" applyBorder="1" applyAlignment="1">
      <alignment horizontal="center" vertical="center" wrapText="1"/>
    </xf>
    <xf numFmtId="187" fontId="7" fillId="12" borderId="10" xfId="0" applyNumberFormat="1" applyFont="1" applyFill="1" applyBorder="1" applyAlignment="1">
      <alignment horizontal="center" vertical="center" wrapText="1"/>
    </xf>
    <xf numFmtId="187" fontId="6" fillId="0" borderId="10" xfId="0" applyNumberFormat="1" applyFont="1" applyFill="1" applyBorder="1" applyAlignment="1">
      <alignment horizontal="center" vertical="center" wrapText="1"/>
    </xf>
    <xf numFmtId="187" fontId="6" fillId="35" borderId="10" xfId="0" applyNumberFormat="1" applyFont="1" applyFill="1" applyBorder="1" applyAlignment="1">
      <alignment horizontal="center" vertical="center" wrapText="1"/>
    </xf>
    <xf numFmtId="187" fontId="14" fillId="0" borderId="10" xfId="0" applyNumberFormat="1" applyFont="1" applyFill="1" applyBorder="1" applyAlignment="1">
      <alignment horizontal="center" vertical="center" wrapText="1"/>
    </xf>
    <xf numFmtId="187" fontId="14" fillId="0" borderId="10" xfId="0" applyNumberFormat="1" applyFont="1" applyFill="1" applyBorder="1" applyAlignment="1">
      <alignment horizontal="center" vertical="center"/>
    </xf>
    <xf numFmtId="187" fontId="6" fillId="0" borderId="10" xfId="0" applyNumberFormat="1" applyFont="1" applyFill="1" applyBorder="1" applyAlignment="1">
      <alignment horizontal="center" vertical="center"/>
    </xf>
    <xf numFmtId="187" fontId="14" fillId="0" borderId="19" xfId="0" applyNumberFormat="1" applyFont="1" applyFill="1" applyBorder="1" applyAlignment="1">
      <alignment horizontal="center" vertical="center"/>
    </xf>
    <xf numFmtId="187" fontId="14" fillId="35" borderId="10" xfId="0" applyNumberFormat="1" applyFont="1" applyFill="1" applyBorder="1" applyAlignment="1">
      <alignment horizontal="center" vertical="center" wrapText="1"/>
    </xf>
    <xf numFmtId="187" fontId="6" fillId="0" borderId="19" xfId="0" applyNumberFormat="1" applyFont="1" applyFill="1" applyBorder="1" applyAlignment="1">
      <alignment horizontal="center" vertical="center" wrapText="1"/>
    </xf>
    <xf numFmtId="187" fontId="14" fillId="35" borderId="19" xfId="0" applyNumberFormat="1" applyFont="1" applyFill="1" applyBorder="1" applyAlignment="1">
      <alignment horizontal="center" vertical="center" wrapText="1"/>
    </xf>
    <xf numFmtId="187" fontId="6" fillId="0" borderId="11" xfId="0" applyNumberFormat="1" applyFont="1" applyFill="1" applyBorder="1" applyAlignment="1">
      <alignment horizontal="center" vertical="center" wrapText="1"/>
    </xf>
    <xf numFmtId="187" fontId="6" fillId="0" borderId="14" xfId="0" applyNumberFormat="1" applyFont="1" applyFill="1" applyBorder="1" applyAlignment="1">
      <alignment horizontal="center" vertical="center" wrapText="1"/>
    </xf>
    <xf numFmtId="187" fontId="14" fillId="0" borderId="11" xfId="0" applyNumberFormat="1" applyFont="1" applyFill="1" applyBorder="1" applyAlignment="1">
      <alignment horizontal="center" vertical="center" wrapText="1"/>
    </xf>
    <xf numFmtId="187" fontId="6" fillId="12" borderId="10" xfId="0" applyNumberFormat="1" applyFont="1" applyFill="1" applyBorder="1" applyAlignment="1">
      <alignment horizontal="center" vertical="center" wrapText="1"/>
    </xf>
    <xf numFmtId="49" fontId="6" fillId="35" borderId="11" xfId="0" applyNumberFormat="1" applyFont="1" applyFill="1" applyBorder="1" applyAlignment="1">
      <alignment horizontal="center" vertical="center" wrapText="1"/>
    </xf>
    <xf numFmtId="185" fontId="6" fillId="0" borderId="10" xfId="0" applyNumberFormat="1" applyFont="1" applyFill="1" applyBorder="1" applyAlignment="1">
      <alignment horizontal="center" vertical="center" wrapText="1"/>
    </xf>
    <xf numFmtId="49" fontId="6" fillId="35" borderId="14" xfId="0" applyNumberFormat="1" applyFont="1" applyFill="1" applyBorder="1" applyAlignment="1">
      <alignment horizontal="center" vertical="center" wrapText="1"/>
    </xf>
    <xf numFmtId="0" fontId="9" fillId="35" borderId="14" xfId="0" applyNumberFormat="1" applyFont="1" applyFill="1" applyBorder="1" applyAlignment="1">
      <alignment horizontal="center" vertical="center" wrapText="1"/>
    </xf>
    <xf numFmtId="49" fontId="9" fillId="35" borderId="14" xfId="0" applyNumberFormat="1" applyFont="1" applyFill="1" applyBorder="1" applyAlignment="1">
      <alignment horizontal="center" vertical="center" wrapText="1"/>
    </xf>
    <xf numFmtId="49" fontId="6" fillId="35" borderId="17" xfId="0" applyNumberFormat="1" applyFont="1" applyFill="1" applyBorder="1" applyAlignment="1">
      <alignment horizontal="center" vertical="center" wrapText="1"/>
    </xf>
    <xf numFmtId="49" fontId="9" fillId="35" borderId="17" xfId="0" applyNumberFormat="1" applyFont="1" applyFill="1" applyBorder="1" applyAlignment="1">
      <alignment horizontal="center" vertical="center" wrapText="1"/>
    </xf>
    <xf numFmtId="182" fontId="14" fillId="0" borderId="10" xfId="0" applyNumberFormat="1" applyFont="1" applyFill="1" applyBorder="1" applyAlignment="1">
      <alignment horizontal="center" vertical="center" wrapText="1"/>
    </xf>
    <xf numFmtId="0" fontId="9" fillId="0" borderId="0" xfId="0" applyFont="1" applyFill="1" applyAlignment="1">
      <alignment horizontal="left" vertical="center" wrapText="1"/>
    </xf>
    <xf numFmtId="49" fontId="6" fillId="35" borderId="14"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6" fillId="35" borderId="10" xfId="0" applyFont="1" applyFill="1" applyBorder="1" applyAlignment="1">
      <alignment horizontal="center" vertical="center" wrapText="1"/>
    </xf>
    <xf numFmtId="49" fontId="6" fillId="35" borderId="14" xfId="0" applyNumberFormat="1" applyFont="1" applyFill="1" applyBorder="1" applyAlignment="1">
      <alignment horizontal="center" vertical="center" wrapText="1"/>
    </xf>
    <xf numFmtId="0" fontId="9" fillId="35" borderId="14" xfId="0" applyNumberFormat="1" applyFont="1" applyFill="1" applyBorder="1" applyAlignment="1">
      <alignment horizontal="center" vertical="center" wrapText="1"/>
    </xf>
    <xf numFmtId="182" fontId="6" fillId="0" borderId="10" xfId="0" applyNumberFormat="1" applyFont="1" applyFill="1" applyBorder="1" applyAlignment="1">
      <alignment vertical="center" wrapText="1"/>
    </xf>
    <xf numFmtId="0" fontId="6" fillId="35" borderId="10" xfId="0" applyFont="1" applyFill="1" applyBorder="1" applyAlignment="1">
      <alignment horizontal="center" vertical="center" wrapText="1"/>
    </xf>
    <xf numFmtId="49" fontId="6" fillId="35" borderId="14" xfId="0" applyNumberFormat="1" applyFont="1" applyFill="1" applyBorder="1" applyAlignment="1">
      <alignment horizontal="center" vertical="center" wrapText="1"/>
    </xf>
    <xf numFmtId="0" fontId="9" fillId="35" borderId="14" xfId="0" applyNumberFormat="1" applyFont="1" applyFill="1" applyBorder="1" applyAlignment="1">
      <alignment horizontal="center" vertical="center" wrapText="1"/>
    </xf>
    <xf numFmtId="187" fontId="6" fillId="35" borderId="11" xfId="0" applyNumberFormat="1" applyFont="1" applyFill="1" applyBorder="1" applyAlignment="1">
      <alignment horizontal="center" vertical="center" wrapText="1"/>
    </xf>
    <xf numFmtId="187" fontId="6" fillId="35" borderId="14" xfId="0" applyNumberFormat="1" applyFont="1" applyFill="1" applyBorder="1" applyAlignment="1">
      <alignment horizontal="center" vertical="center" wrapText="1"/>
    </xf>
    <xf numFmtId="187" fontId="6" fillId="35" borderId="19" xfId="0" applyNumberFormat="1" applyFont="1" applyFill="1" applyBorder="1" applyAlignment="1">
      <alignment horizontal="center" vertical="center" wrapText="1"/>
    </xf>
    <xf numFmtId="187" fontId="14" fillId="35" borderId="10" xfId="0" applyNumberFormat="1" applyFont="1" applyFill="1" applyBorder="1" applyAlignment="1">
      <alignment horizontal="center" vertical="center" wrapText="1" shrinkToFit="1"/>
    </xf>
    <xf numFmtId="187" fontId="6" fillId="0" borderId="0" xfId="0" applyNumberFormat="1" applyFont="1" applyFill="1" applyAlignment="1">
      <alignment horizontal="right" vertical="center" wrapText="1"/>
    </xf>
    <xf numFmtId="187" fontId="6" fillId="35" borderId="10" xfId="0" applyNumberFormat="1" applyFont="1" applyFill="1" applyBorder="1" applyAlignment="1">
      <alignment horizontal="center" vertical="center" wrapText="1" shrinkToFit="1"/>
    </xf>
    <xf numFmtId="191" fontId="6" fillId="35" borderId="14" xfId="0" applyNumberFormat="1" applyFont="1" applyFill="1" applyBorder="1" applyAlignment="1">
      <alignment horizontal="center" vertical="center" wrapText="1"/>
    </xf>
    <xf numFmtId="0" fontId="6" fillId="35" borderId="10" xfId="0" applyFont="1" applyFill="1" applyBorder="1" applyAlignment="1">
      <alignment horizontal="center" vertical="center" wrapText="1"/>
    </xf>
    <xf numFmtId="0" fontId="53" fillId="35" borderId="10" xfId="0" applyNumberFormat="1" applyFont="1" applyFill="1" applyBorder="1" applyAlignment="1">
      <alignment horizontal="center" vertical="center" wrapText="1"/>
    </xf>
    <xf numFmtId="0" fontId="53" fillId="35" borderId="10" xfId="0" applyFont="1" applyFill="1" applyBorder="1" applyAlignment="1">
      <alignment horizontal="center" vertical="center" wrapText="1"/>
    </xf>
    <xf numFmtId="187" fontId="6" fillId="35" borderId="11" xfId="0" applyNumberFormat="1" applyFont="1" applyFill="1" applyBorder="1" applyAlignment="1">
      <alignment horizontal="center" vertical="center" wrapText="1"/>
    </xf>
    <xf numFmtId="0" fontId="14" fillId="0" borderId="10" xfId="0" applyFont="1" applyFill="1" applyBorder="1" applyAlignment="1">
      <alignment vertical="center" wrapText="1"/>
    </xf>
    <xf numFmtId="49" fontId="6" fillId="35" borderId="11"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0" fontId="56" fillId="0" borderId="10" xfId="0" applyFont="1" applyFill="1" applyBorder="1" applyAlignment="1">
      <alignment horizontal="left" vertical="center" wrapText="1"/>
    </xf>
    <xf numFmtId="49" fontId="6" fillId="35" borderId="14" xfId="0" applyNumberFormat="1" applyFont="1" applyFill="1" applyBorder="1" applyAlignment="1">
      <alignment horizontal="center" vertical="center" wrapText="1"/>
    </xf>
    <xf numFmtId="49" fontId="6" fillId="35" borderId="17" xfId="0" applyNumberFormat="1" applyFont="1" applyFill="1" applyBorder="1" applyAlignment="1">
      <alignment horizontal="center" vertical="center" wrapText="1"/>
    </xf>
    <xf numFmtId="187" fontId="6" fillId="35" borderId="11" xfId="0" applyNumberFormat="1" applyFont="1" applyFill="1" applyBorder="1" applyAlignment="1">
      <alignment horizontal="center" vertical="center" wrapText="1"/>
    </xf>
    <xf numFmtId="49" fontId="6" fillId="0" borderId="17" xfId="0" applyNumberFormat="1" applyFont="1" applyFill="1" applyBorder="1" applyAlignment="1">
      <alignment horizontal="left" vertical="center" wrapText="1"/>
    </xf>
    <xf numFmtId="49" fontId="6" fillId="35" borderId="14" xfId="0" applyNumberFormat="1" applyFont="1" applyFill="1" applyBorder="1" applyAlignment="1">
      <alignment horizontal="center" vertical="center" wrapText="1"/>
    </xf>
    <xf numFmtId="49" fontId="6" fillId="35" borderId="14" xfId="0" applyNumberFormat="1" applyFont="1" applyFill="1" applyBorder="1" applyAlignment="1">
      <alignment horizontal="center" vertical="center" wrapText="1"/>
    </xf>
    <xf numFmtId="0" fontId="6" fillId="35" borderId="10" xfId="0" applyFont="1" applyFill="1" applyBorder="1" applyAlignment="1">
      <alignment horizontal="center" vertical="center" wrapText="1"/>
    </xf>
    <xf numFmtId="187" fontId="6" fillId="35" borderId="11" xfId="0" applyNumberFormat="1" applyFont="1" applyFill="1" applyBorder="1" applyAlignment="1">
      <alignment horizontal="center" vertical="center" wrapText="1"/>
    </xf>
    <xf numFmtId="49" fontId="6" fillId="35" borderId="11" xfId="0" applyNumberFormat="1" applyFont="1" applyFill="1" applyBorder="1" applyAlignment="1">
      <alignment horizontal="center" vertical="center" wrapText="1"/>
    </xf>
    <xf numFmtId="49" fontId="6" fillId="35" borderId="14" xfId="0" applyNumberFormat="1" applyFont="1" applyFill="1" applyBorder="1" applyAlignment="1">
      <alignment horizontal="center" vertical="center" wrapText="1"/>
    </xf>
    <xf numFmtId="0" fontId="6" fillId="35" borderId="10" xfId="0" applyFont="1" applyFill="1" applyBorder="1" applyAlignment="1">
      <alignment horizontal="center" vertical="center" wrapText="1"/>
    </xf>
    <xf numFmtId="49" fontId="6" fillId="35" borderId="11" xfId="0" applyNumberFormat="1" applyFont="1" applyFill="1" applyBorder="1" applyAlignment="1">
      <alignment vertical="center" wrapText="1"/>
    </xf>
    <xf numFmtId="187" fontId="6" fillId="36" borderId="10" xfId="0" applyNumberFormat="1" applyFont="1" applyFill="1" applyBorder="1" applyAlignment="1">
      <alignment horizontal="center" vertical="center" wrapText="1"/>
    </xf>
    <xf numFmtId="49" fontId="6" fillId="35" borderId="14" xfId="0" applyNumberFormat="1" applyFont="1" applyFill="1" applyBorder="1" applyAlignment="1">
      <alignment horizontal="center" vertical="center" wrapText="1"/>
    </xf>
    <xf numFmtId="49" fontId="9" fillId="35" borderId="14" xfId="0" applyNumberFormat="1" applyFont="1" applyFill="1" applyBorder="1" applyAlignment="1">
      <alignment horizontal="center" vertical="center" wrapText="1"/>
    </xf>
    <xf numFmtId="49" fontId="6" fillId="35" borderId="11" xfId="0" applyNumberFormat="1" applyFont="1" applyFill="1" applyBorder="1" applyAlignment="1">
      <alignment horizontal="center" vertical="center" wrapText="1"/>
    </xf>
    <xf numFmtId="49" fontId="6" fillId="35" borderId="14" xfId="0" applyNumberFormat="1" applyFont="1" applyFill="1" applyBorder="1" applyAlignment="1">
      <alignment horizontal="center" vertical="center" wrapText="1"/>
    </xf>
    <xf numFmtId="0" fontId="9" fillId="35" borderId="11" xfId="0" applyFont="1" applyFill="1" applyBorder="1" applyAlignment="1">
      <alignment horizontal="center" vertical="center" wrapText="1"/>
    </xf>
    <xf numFmtId="49" fontId="9" fillId="35" borderId="11" xfId="0" applyNumberFormat="1" applyFont="1" applyFill="1" applyBorder="1" applyAlignment="1">
      <alignment horizontal="center" vertical="center" wrapText="1"/>
    </xf>
    <xf numFmtId="0" fontId="9" fillId="35" borderId="11" xfId="0" applyNumberFormat="1" applyFont="1" applyFill="1" applyBorder="1" applyAlignment="1">
      <alignment horizontal="center" vertical="center" wrapText="1"/>
    </xf>
    <xf numFmtId="0" fontId="6" fillId="35" borderId="11" xfId="0" applyNumberFormat="1" applyFont="1" applyFill="1" applyBorder="1" applyAlignment="1">
      <alignment horizontal="center" vertical="center" wrapText="1"/>
    </xf>
    <xf numFmtId="0" fontId="6" fillId="35" borderId="11" xfId="0" applyFont="1" applyFill="1" applyBorder="1" applyAlignment="1">
      <alignment horizontal="center" vertical="center" wrapText="1"/>
    </xf>
    <xf numFmtId="187" fontId="6" fillId="35" borderId="11" xfId="0" applyNumberFormat="1" applyFont="1" applyFill="1" applyBorder="1" applyAlignment="1">
      <alignment horizontal="center" vertical="center" wrapText="1"/>
    </xf>
    <xf numFmtId="49" fontId="14" fillId="36" borderId="11" xfId="0" applyNumberFormat="1" applyFont="1" applyFill="1" applyBorder="1" applyAlignment="1">
      <alignment horizontal="center" vertical="center" wrapText="1"/>
    </xf>
    <xf numFmtId="49" fontId="14" fillId="36" borderId="10" xfId="0" applyNumberFormat="1" applyFont="1" applyFill="1" applyBorder="1" applyAlignment="1">
      <alignment horizontal="center" vertical="center" wrapText="1"/>
    </xf>
    <xf numFmtId="0" fontId="6" fillId="35" borderId="11" xfId="0" applyFont="1" applyFill="1" applyBorder="1" applyAlignment="1">
      <alignment horizontal="left" vertical="center" wrapText="1"/>
    </xf>
    <xf numFmtId="0" fontId="9" fillId="35" borderId="10"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35" borderId="11" xfId="0" applyNumberFormat="1" applyFont="1" applyFill="1" applyBorder="1" applyAlignment="1">
      <alignment horizontal="center" vertical="center" wrapText="1"/>
    </xf>
    <xf numFmtId="49" fontId="6" fillId="35" borderId="14"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14"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0" fillId="0" borderId="14" xfId="0" applyBorder="1" applyAlignment="1">
      <alignment horizontal="center" vertical="center" wrapText="1"/>
    </xf>
    <xf numFmtId="49" fontId="6" fillId="0" borderId="17"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6" fillId="35" borderId="17" xfId="0" applyNumberFormat="1" applyFont="1" applyFill="1" applyBorder="1" applyAlignment="1">
      <alignment horizontal="center" vertical="center" wrapText="1"/>
    </xf>
    <xf numFmtId="0" fontId="9" fillId="35" borderId="11"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6" fillId="35"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vertical="center" wrapText="1"/>
    </xf>
    <xf numFmtId="0" fontId="0" fillId="0" borderId="14" xfId="0" applyBorder="1" applyAlignment="1">
      <alignment vertical="center" wrapText="1"/>
    </xf>
    <xf numFmtId="2" fontId="6" fillId="35" borderId="11" xfId="53" applyNumberFormat="1" applyFont="1" applyFill="1" applyBorder="1" applyAlignment="1">
      <alignment horizontal="center" vertical="center" wrapText="1"/>
      <protection/>
    </xf>
    <xf numFmtId="2" fontId="6" fillId="35" borderId="14" xfId="53" applyNumberFormat="1"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17" xfId="0" applyFont="1" applyBorder="1" applyAlignment="1">
      <alignment horizontal="left" vertical="center" wrapText="1"/>
    </xf>
    <xf numFmtId="0" fontId="6" fillId="0" borderId="14" xfId="0" applyFont="1" applyBorder="1" applyAlignment="1">
      <alignment horizontal="left" vertical="center" wrapText="1"/>
    </xf>
    <xf numFmtId="0" fontId="6" fillId="35" borderId="17" xfId="0" applyNumberFormat="1" applyFont="1" applyFill="1" applyBorder="1" applyAlignment="1">
      <alignment horizontal="center" vertical="center" wrapText="1"/>
    </xf>
    <xf numFmtId="0" fontId="6" fillId="35" borderId="14" xfId="0" applyNumberFormat="1" applyFont="1" applyFill="1" applyBorder="1" applyAlignment="1">
      <alignment horizontal="center" vertical="center" wrapText="1"/>
    </xf>
    <xf numFmtId="49" fontId="9" fillId="37" borderId="17" xfId="0" applyNumberFormat="1" applyFont="1" applyFill="1" applyBorder="1" applyAlignment="1">
      <alignment horizontal="center" vertical="center" wrapText="1"/>
    </xf>
    <xf numFmtId="49" fontId="9" fillId="35" borderId="11" xfId="0" applyNumberFormat="1" applyFont="1" applyFill="1" applyBorder="1" applyAlignment="1">
      <alignment horizontal="center" vertical="center" wrapText="1"/>
    </xf>
    <xf numFmtId="49" fontId="9" fillId="35" borderId="17" xfId="0" applyNumberFormat="1" applyFont="1" applyFill="1" applyBorder="1" applyAlignment="1">
      <alignment horizontal="center" vertical="center" wrapText="1"/>
    </xf>
    <xf numFmtId="49" fontId="6" fillId="37" borderId="17"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72" fontId="6" fillId="0" borderId="11" xfId="0" applyNumberFormat="1" applyFont="1" applyFill="1" applyBorder="1" applyAlignment="1">
      <alignment horizontal="center" vertical="center" wrapText="1"/>
    </xf>
    <xf numFmtId="172" fontId="6" fillId="0" borderId="14" xfId="0" applyNumberFormat="1" applyFont="1" applyFill="1" applyBorder="1" applyAlignment="1">
      <alignment horizontal="center" vertical="center" wrapText="1"/>
    </xf>
    <xf numFmtId="0" fontId="9" fillId="35" borderId="11" xfId="0" applyNumberFormat="1" applyFont="1" applyFill="1" applyBorder="1" applyAlignment="1">
      <alignment horizontal="center" vertical="center" wrapText="1"/>
    </xf>
    <xf numFmtId="0" fontId="9" fillId="35" borderId="14" xfId="0" applyNumberFormat="1" applyFont="1" applyFill="1" applyBorder="1" applyAlignment="1">
      <alignment horizontal="center" vertical="center" wrapText="1"/>
    </xf>
    <xf numFmtId="49" fontId="9" fillId="35" borderId="14"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9" fillId="0" borderId="17"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35" borderId="17"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6" fillId="0" borderId="11" xfId="0" applyNumberFormat="1"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0" fontId="0" fillId="0" borderId="14" xfId="0" applyBorder="1" applyAlignment="1">
      <alignment horizontal="left" vertical="center" wrapText="1"/>
    </xf>
    <xf numFmtId="2" fontId="9" fillId="0" borderId="11" xfId="0" applyNumberFormat="1" applyFont="1" applyFill="1" applyBorder="1" applyAlignment="1">
      <alignment horizontal="center" vertical="center" wrapText="1"/>
    </xf>
    <xf numFmtId="2" fontId="9" fillId="0" borderId="14" xfId="0" applyNumberFormat="1" applyFont="1" applyFill="1" applyBorder="1" applyAlignment="1">
      <alignment horizontal="center" vertical="center" wrapText="1"/>
    </xf>
    <xf numFmtId="2" fontId="9" fillId="0" borderId="17" xfId="0" applyNumberFormat="1"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0" fontId="0" fillId="0" borderId="14" xfId="0" applyFont="1" applyBorder="1" applyAlignment="1">
      <alignment horizontal="center" vertical="center" wrapText="1"/>
    </xf>
    <xf numFmtId="0" fontId="6" fillId="35" borderId="11"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0" xfId="0" applyFont="1" applyFill="1" applyBorder="1" applyAlignment="1">
      <alignment horizontal="center" vertical="center" wrapText="1"/>
    </xf>
    <xf numFmtId="187" fontId="6" fillId="0" borderId="11" xfId="0" applyNumberFormat="1" applyFont="1" applyFill="1" applyBorder="1" applyAlignment="1">
      <alignment horizontal="center" vertical="center" wrapText="1"/>
    </xf>
    <xf numFmtId="187" fontId="6" fillId="0" borderId="14" xfId="0" applyNumberFormat="1" applyFont="1" applyFill="1" applyBorder="1" applyAlignment="1">
      <alignment horizontal="center" vertical="center" wrapText="1"/>
    </xf>
    <xf numFmtId="185" fontId="8" fillId="0" borderId="19" xfId="0" applyNumberFormat="1" applyFont="1" applyFill="1" applyBorder="1" applyAlignment="1" applyProtection="1">
      <alignment horizontal="center" vertical="center" wrapText="1"/>
      <protection/>
    </xf>
    <xf numFmtId="185" fontId="8" fillId="0" borderId="12"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185" fontId="8" fillId="0" borderId="23"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185" fontId="6" fillId="0" borderId="0" xfId="0" applyNumberFormat="1" applyFont="1" applyFill="1" applyAlignment="1">
      <alignment horizontal="right" vertical="center" wrapText="1"/>
    </xf>
    <xf numFmtId="187" fontId="6" fillId="0" borderId="0" xfId="0" applyNumberFormat="1" applyFont="1" applyFill="1" applyAlignment="1">
      <alignment horizontal="right" vertical="center" wrapText="1"/>
    </xf>
    <xf numFmtId="188" fontId="6" fillId="0" borderId="0" xfId="0" applyNumberFormat="1" applyFont="1" applyFill="1" applyAlignment="1">
      <alignment horizontal="right" vertical="center" wrapText="1"/>
    </xf>
    <xf numFmtId="185" fontId="6" fillId="0" borderId="0" xfId="0" applyNumberFormat="1" applyFont="1" applyFill="1" applyAlignment="1">
      <alignment horizontal="right" vertical="center"/>
    </xf>
    <xf numFmtId="0" fontId="5" fillId="0" borderId="0" xfId="0" applyFont="1" applyFill="1" applyAlignment="1">
      <alignment horizontal="center" vertical="center"/>
    </xf>
    <xf numFmtId="0" fontId="8" fillId="0" borderId="24"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14" fillId="0" borderId="0" xfId="0" applyFont="1" applyFill="1" applyAlignment="1">
      <alignment horizontal="left" vertical="center" wrapText="1"/>
    </xf>
    <xf numFmtId="0" fontId="6" fillId="0" borderId="24" xfId="0" applyFont="1" applyFill="1" applyBorder="1" applyAlignment="1">
      <alignment horizontal="center" vertical="top"/>
    </xf>
    <xf numFmtId="187" fontId="6" fillId="35" borderId="11" xfId="0" applyNumberFormat="1" applyFont="1" applyFill="1" applyBorder="1" applyAlignment="1">
      <alignment horizontal="center" vertical="center" wrapText="1"/>
    </xf>
    <xf numFmtId="187" fontId="6" fillId="35" borderId="14" xfId="0" applyNumberFormat="1" applyFont="1" applyFill="1" applyBorder="1" applyAlignment="1">
      <alignment horizontal="center" vertical="center" wrapText="1"/>
    </xf>
    <xf numFmtId="0" fontId="6" fillId="35" borderId="11" xfId="0" applyFont="1" applyFill="1" applyBorder="1" applyAlignment="1">
      <alignment horizontal="center" vertical="center" wrapText="1" shrinkToFit="1"/>
    </xf>
    <xf numFmtId="0" fontId="6" fillId="35" borderId="17" xfId="0" applyFont="1" applyFill="1" applyBorder="1" applyAlignment="1">
      <alignment horizontal="center" vertical="center" wrapText="1" shrinkToFit="1"/>
    </xf>
    <xf numFmtId="0" fontId="6" fillId="35" borderId="14" xfId="0" applyFont="1" applyFill="1" applyBorder="1" applyAlignment="1">
      <alignment horizontal="center" vertical="center" wrapText="1" shrinkToFit="1"/>
    </xf>
    <xf numFmtId="49" fontId="6" fillId="35" borderId="11" xfId="0" applyNumberFormat="1" applyFont="1" applyFill="1" applyBorder="1" applyAlignment="1">
      <alignment horizontal="left" vertical="center" wrapText="1"/>
    </xf>
    <xf numFmtId="49" fontId="6" fillId="35" borderId="17" xfId="0" applyNumberFormat="1" applyFont="1" applyFill="1" applyBorder="1" applyAlignment="1">
      <alignment horizontal="left" vertical="center" wrapText="1"/>
    </xf>
    <xf numFmtId="49" fontId="6" fillId="35" borderId="14"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6" fillId="37" borderId="17" xfId="0" applyNumberFormat="1" applyFont="1" applyFill="1" applyBorder="1" applyAlignment="1">
      <alignment horizontal="left" vertical="center" wrapText="1"/>
    </xf>
    <xf numFmtId="180" fontId="9" fillId="0" borderId="11" xfId="0" applyNumberFormat="1" applyFont="1" applyFill="1" applyBorder="1" applyAlignment="1">
      <alignment horizontal="center" vertical="center" wrapText="1"/>
    </xf>
    <xf numFmtId="180" fontId="9" fillId="0" borderId="14" xfId="0" applyNumberFormat="1" applyFont="1" applyFill="1" applyBorder="1" applyAlignment="1">
      <alignment horizontal="center" vertical="center" wrapText="1"/>
    </xf>
    <xf numFmtId="187" fontId="6" fillId="35" borderId="17" xfId="0" applyNumberFormat="1" applyFont="1" applyFill="1" applyBorder="1" applyAlignment="1">
      <alignment horizontal="center" vertical="center" wrapText="1"/>
    </xf>
    <xf numFmtId="0" fontId="0" fillId="0" borderId="17" xfId="0" applyBorder="1" applyAlignment="1">
      <alignment horizontal="left" vertical="center" wrapText="1"/>
    </xf>
    <xf numFmtId="49" fontId="57" fillId="35" borderId="11" xfId="0" applyNumberFormat="1" applyFont="1" applyFill="1" applyBorder="1" applyAlignment="1">
      <alignment horizontal="center" vertical="center" wrapText="1"/>
    </xf>
    <xf numFmtId="49" fontId="57" fillId="35" borderId="17" xfId="0" applyNumberFormat="1" applyFont="1" applyFill="1" applyBorder="1" applyAlignment="1">
      <alignment horizontal="center" vertical="center" wrapText="1"/>
    </xf>
    <xf numFmtId="49" fontId="57" fillId="35" borderId="14" xfId="0" applyNumberFormat="1"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0" borderId="17" xfId="0" applyNumberFormat="1" applyFont="1" applyFill="1" applyBorder="1" applyAlignment="1">
      <alignment horizontal="left" vertical="center" wrapText="1"/>
    </xf>
    <xf numFmtId="0" fontId="16" fillId="0" borderId="17" xfId="0" applyFont="1" applyBorder="1" applyAlignment="1">
      <alignment vertical="center"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6" fillId="0" borderId="14" xfId="0" applyFont="1" applyFill="1" applyBorder="1" applyAlignment="1">
      <alignment vertical="center" wrapText="1"/>
    </xf>
    <xf numFmtId="0" fontId="9" fillId="0" borderId="1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7" xfId="0"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9"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76"/>
  <sheetViews>
    <sheetView tabSelected="1" view="pageBreakPreview" zoomScale="80" zoomScaleNormal="60" zoomScaleSheetLayoutView="80" workbookViewId="0" topLeftCell="A48">
      <selection activeCell="I55" sqref="I55:I57"/>
    </sheetView>
  </sheetViews>
  <sheetFormatPr defaultColWidth="9.00390625" defaultRowHeight="12.75"/>
  <cols>
    <col min="1" max="1" width="7.375" style="20" customWidth="1"/>
    <col min="2" max="2" width="55.875" style="21" customWidth="1"/>
    <col min="3" max="3" width="14.625" style="20" customWidth="1"/>
    <col min="4" max="4" width="6.75390625" style="22" customWidth="1"/>
    <col min="5" max="5" width="15.125" style="22" customWidth="1"/>
    <col min="6" max="6" width="7.625" style="22" customWidth="1"/>
    <col min="7" max="7" width="56.625" style="23" customWidth="1"/>
    <col min="8" max="8" width="17.375" style="20" customWidth="1"/>
    <col min="9" max="9" width="12.00390625" style="20" customWidth="1"/>
    <col min="10" max="10" width="18.125" style="9" customWidth="1"/>
    <col min="11" max="11" width="18.25390625" style="236" customWidth="1"/>
    <col min="12" max="12" width="18.125" style="184" customWidth="1"/>
    <col min="13" max="13" width="18.125" style="179" customWidth="1"/>
    <col min="14" max="60" width="9.125" style="33" customWidth="1"/>
    <col min="61" max="16384" width="9.125" style="12" customWidth="1"/>
  </cols>
  <sheetData>
    <row r="1" spans="10:13" ht="15">
      <c r="J1" s="357" t="s">
        <v>38</v>
      </c>
      <c r="K1" s="358"/>
      <c r="L1" s="359"/>
      <c r="M1" s="357"/>
    </row>
    <row r="2" spans="10:13" ht="15" customHeight="1">
      <c r="J2" s="357" t="s">
        <v>39</v>
      </c>
      <c r="K2" s="357"/>
      <c r="L2" s="357"/>
      <c r="M2" s="357"/>
    </row>
    <row r="3" spans="10:13" ht="15" customHeight="1">
      <c r="J3" s="357" t="s">
        <v>42</v>
      </c>
      <c r="K3" s="357"/>
      <c r="L3" s="357"/>
      <c r="M3" s="357"/>
    </row>
    <row r="4" spans="2:13" ht="15" customHeight="1">
      <c r="B4" s="189" t="s">
        <v>998</v>
      </c>
      <c r="J4" s="357" t="s">
        <v>41</v>
      </c>
      <c r="K4" s="357"/>
      <c r="L4" s="357"/>
      <c r="M4" s="357"/>
    </row>
    <row r="5" spans="2:60" s="24" customFormat="1" ht="18.75">
      <c r="B5" s="190" t="s">
        <v>1042</v>
      </c>
      <c r="G5" s="26"/>
      <c r="J5" s="360" t="s">
        <v>40</v>
      </c>
      <c r="K5" s="360"/>
      <c r="L5" s="360"/>
      <c r="M5" s="360"/>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row>
    <row r="6" spans="2:60" s="24" customFormat="1" ht="15">
      <c r="B6" s="25"/>
      <c r="G6" s="26"/>
      <c r="J6" s="360" t="s">
        <v>41</v>
      </c>
      <c r="K6" s="360"/>
      <c r="L6" s="360"/>
      <c r="M6" s="360"/>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row>
    <row r="7" spans="2:60" s="24" customFormat="1" ht="15">
      <c r="B7" s="25"/>
      <c r="G7" s="26"/>
      <c r="J7" s="360" t="s">
        <v>0</v>
      </c>
      <c r="K7" s="360"/>
      <c r="L7" s="360"/>
      <c r="M7" s="360"/>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row>
    <row r="8" spans="1:60" s="24" customFormat="1" ht="18.75">
      <c r="A8" s="361" t="s">
        <v>157</v>
      </c>
      <c r="B8" s="361"/>
      <c r="C8" s="361"/>
      <c r="D8" s="361"/>
      <c r="E8" s="361"/>
      <c r="F8" s="361"/>
      <c r="G8" s="361"/>
      <c r="H8" s="361"/>
      <c r="I8" s="361"/>
      <c r="J8" s="361"/>
      <c r="K8" s="361"/>
      <c r="L8" s="361"/>
      <c r="M8" s="361"/>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row>
    <row r="9" spans="1:60" s="24" customFormat="1" ht="15" customHeight="1">
      <c r="A9" s="27"/>
      <c r="B9" s="172"/>
      <c r="C9" s="27"/>
      <c r="D9" s="27"/>
      <c r="E9" s="27"/>
      <c r="F9" s="27"/>
      <c r="G9" s="27"/>
      <c r="H9" s="27"/>
      <c r="I9" s="27"/>
      <c r="J9" s="176"/>
      <c r="K9" s="176"/>
      <c r="L9" s="176"/>
      <c r="M9" s="177"/>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row>
    <row r="10" spans="1:60" s="24" customFormat="1" ht="15" customHeight="1">
      <c r="A10" s="347" t="s">
        <v>34</v>
      </c>
      <c r="B10" s="348"/>
      <c r="C10" s="276" t="s">
        <v>30</v>
      </c>
      <c r="D10" s="354" t="s">
        <v>35</v>
      </c>
      <c r="E10" s="354" t="s">
        <v>37</v>
      </c>
      <c r="F10" s="354" t="s">
        <v>36</v>
      </c>
      <c r="G10" s="347" t="s">
        <v>14</v>
      </c>
      <c r="H10" s="362"/>
      <c r="I10" s="348"/>
      <c r="J10" s="345" t="s">
        <v>31</v>
      </c>
      <c r="K10" s="353"/>
      <c r="L10" s="353"/>
      <c r="M10" s="346"/>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row>
    <row r="11" spans="1:60" s="24" customFormat="1" ht="32.25" customHeight="1">
      <c r="A11" s="349"/>
      <c r="B11" s="350"/>
      <c r="C11" s="299"/>
      <c r="D11" s="355"/>
      <c r="E11" s="355"/>
      <c r="F11" s="355"/>
      <c r="G11" s="351"/>
      <c r="H11" s="363"/>
      <c r="I11" s="352"/>
      <c r="J11" s="345" t="s">
        <v>420</v>
      </c>
      <c r="K11" s="346"/>
      <c r="L11" s="345" t="s">
        <v>421</v>
      </c>
      <c r="M11" s="346"/>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row>
    <row r="12" spans="1:60" s="24" customFormat="1" ht="116.25" customHeight="1">
      <c r="A12" s="351"/>
      <c r="B12" s="352"/>
      <c r="C12" s="277"/>
      <c r="D12" s="356"/>
      <c r="E12" s="356"/>
      <c r="F12" s="356"/>
      <c r="G12" s="1" t="s">
        <v>15</v>
      </c>
      <c r="H12" s="1" t="s">
        <v>16</v>
      </c>
      <c r="I12" s="1" t="s">
        <v>17</v>
      </c>
      <c r="J12" s="178" t="s">
        <v>8</v>
      </c>
      <c r="K12" s="178" t="s">
        <v>52</v>
      </c>
      <c r="L12" s="178" t="s">
        <v>32</v>
      </c>
      <c r="M12" s="178" t="s">
        <v>33</v>
      </c>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row>
    <row r="13" spans="1:60" s="24" customFormat="1" ht="30" customHeight="1">
      <c r="A13" s="1" t="s">
        <v>925</v>
      </c>
      <c r="B13" s="1" t="s">
        <v>18</v>
      </c>
      <c r="C13" s="1" t="s">
        <v>19</v>
      </c>
      <c r="D13" s="2" t="s">
        <v>20</v>
      </c>
      <c r="E13" s="2" t="s">
        <v>21</v>
      </c>
      <c r="F13" s="2" t="s">
        <v>22</v>
      </c>
      <c r="G13" s="1" t="s">
        <v>23</v>
      </c>
      <c r="H13" s="1" t="s">
        <v>24</v>
      </c>
      <c r="I13" s="1" t="s">
        <v>25</v>
      </c>
      <c r="J13" s="178" t="s">
        <v>26</v>
      </c>
      <c r="K13" s="178" t="s">
        <v>27</v>
      </c>
      <c r="L13" s="178" t="s">
        <v>28</v>
      </c>
      <c r="M13" s="178" t="s">
        <v>29</v>
      </c>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row>
    <row r="14" spans="1:60" s="29" customFormat="1" ht="42.75" customHeight="1">
      <c r="A14" s="45" t="s">
        <v>158</v>
      </c>
      <c r="B14" s="46" t="s">
        <v>168</v>
      </c>
      <c r="C14" s="45"/>
      <c r="D14" s="45"/>
      <c r="E14" s="45"/>
      <c r="F14" s="47"/>
      <c r="G14" s="48"/>
      <c r="H14" s="49"/>
      <c r="I14" s="49"/>
      <c r="J14" s="199">
        <f>J15+J350+J424+J425+J511</f>
        <v>1137867.3223499998</v>
      </c>
      <c r="K14" s="199">
        <f>K15+K350+K424+K425+K511</f>
        <v>1137663.0036199999</v>
      </c>
      <c r="L14" s="199">
        <f>L15+L350+L424+L425+L511+L525</f>
        <v>1090939.7914200001</v>
      </c>
      <c r="M14" s="199">
        <f>M15+M350+M424+M425+M511+M525</f>
        <v>1210307.37852</v>
      </c>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row>
    <row r="15" spans="1:60" s="29" customFormat="1" ht="71.25" customHeight="1">
      <c r="A15" s="45" t="s">
        <v>169</v>
      </c>
      <c r="B15" s="46" t="s">
        <v>171</v>
      </c>
      <c r="C15" s="45"/>
      <c r="D15" s="45"/>
      <c r="E15" s="45"/>
      <c r="F15" s="47"/>
      <c r="G15" s="48"/>
      <c r="H15" s="49"/>
      <c r="I15" s="49"/>
      <c r="J15" s="199">
        <f>J29+J61+J85+J92+J109+J114+J118+J124+J129+J135+J138+J164+J189+J194+J208+J214+J223+J229+J275+J278+J281+J296+J311+J319+J328+J255+J334+J306+J315+J346+J16</f>
        <v>593061.8999999999</v>
      </c>
      <c r="K15" s="199">
        <f>K29+K61+K85+K92+K109+K114+K118+K124+K129+K135+K138+K164+K189+K194+K208+K214+K223+K229+K275+K278+K281+K296+K311+K319+K328+K255+K334+K306+K315+K346+K16</f>
        <v>593009.0838299999</v>
      </c>
      <c r="L15" s="199">
        <f>L29+L61+L85+L92+L109+L114+L118+L124+L129+L135+L138+L164+L189+L194+L208+L214+L223+L229+L275+L278+L281+L296+L311+L319+L328+L255+L334+L306+L315+L346+L16</f>
        <v>530029.5374300001</v>
      </c>
      <c r="M15" s="199">
        <f>M29+M61+M85+M92+M109+M114+M118+M124+M129+M135+M138+M164+M189+M194+M208+M214+M223+M229+M275+M278+M281+M296+M311+M319+M328+M255+M334+M306+M315+M346+M16</f>
        <v>641332.66191</v>
      </c>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row>
    <row r="16" spans="1:60" s="29" customFormat="1" ht="75" customHeight="1">
      <c r="A16" s="90" t="s">
        <v>729</v>
      </c>
      <c r="B16" s="100" t="s">
        <v>730</v>
      </c>
      <c r="C16" s="90"/>
      <c r="D16" s="90"/>
      <c r="E16" s="90"/>
      <c r="F16" s="90"/>
      <c r="G16" s="90"/>
      <c r="H16" s="90"/>
      <c r="I16" s="90"/>
      <c r="J16" s="200">
        <f>J17</f>
        <v>13054.08327</v>
      </c>
      <c r="K16" s="200">
        <f>K17</f>
        <v>13036.55927</v>
      </c>
      <c r="L16" s="200">
        <f>L17</f>
        <v>0</v>
      </c>
      <c r="M16" s="200">
        <f>M17</f>
        <v>0</v>
      </c>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row>
    <row r="17" spans="1:60" s="29" customFormat="1" ht="45" customHeight="1">
      <c r="A17" s="4"/>
      <c r="B17" s="69" t="s">
        <v>697</v>
      </c>
      <c r="C17" s="4"/>
      <c r="D17" s="4"/>
      <c r="E17" s="4" t="s">
        <v>440</v>
      </c>
      <c r="F17" s="4"/>
      <c r="G17" s="4"/>
      <c r="H17" s="4"/>
      <c r="I17" s="4"/>
      <c r="J17" s="201">
        <f>J18+J20+J22+J23+J24+J25+J19+J21+J26+J27+J28</f>
        <v>13054.08327</v>
      </c>
      <c r="K17" s="201">
        <f>K18+K20+K22+K23+K24+K25+K19+K21+K26+K27+K28</f>
        <v>13036.55927</v>
      </c>
      <c r="L17" s="201">
        <f>L18+L20+L22+L23+L24+L25+L19</f>
        <v>0</v>
      </c>
      <c r="M17" s="201">
        <f>M18+M20+M22+M23+M24+M25+M19</f>
        <v>0</v>
      </c>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row>
    <row r="18" spans="1:60" s="29" customFormat="1" ht="45" customHeight="1">
      <c r="A18" s="4"/>
      <c r="B18" s="11" t="s">
        <v>680</v>
      </c>
      <c r="C18" s="4" t="s">
        <v>859</v>
      </c>
      <c r="D18" s="4" t="s">
        <v>463</v>
      </c>
      <c r="E18" s="4" t="s">
        <v>860</v>
      </c>
      <c r="F18" s="4" t="s">
        <v>43</v>
      </c>
      <c r="G18" s="293" t="s">
        <v>803</v>
      </c>
      <c r="H18" s="295" t="s">
        <v>120</v>
      </c>
      <c r="I18" s="284" t="s">
        <v>434</v>
      </c>
      <c r="J18" s="201">
        <f>8688.46143-7.31</f>
        <v>8681.15143</v>
      </c>
      <c r="K18" s="201">
        <f>8688.46143-7.31</f>
        <v>8681.15143</v>
      </c>
      <c r="L18" s="201">
        <v>0</v>
      </c>
      <c r="M18" s="201">
        <v>0</v>
      </c>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row>
    <row r="19" spans="1:60" s="29" customFormat="1" ht="21.75" customHeight="1">
      <c r="A19" s="4"/>
      <c r="B19" s="11" t="s">
        <v>775</v>
      </c>
      <c r="C19" s="4" t="s">
        <v>859</v>
      </c>
      <c r="D19" s="4" t="s">
        <v>463</v>
      </c>
      <c r="E19" s="4" t="s">
        <v>774</v>
      </c>
      <c r="F19" s="4" t="s">
        <v>325</v>
      </c>
      <c r="G19" s="325"/>
      <c r="H19" s="286"/>
      <c r="I19" s="286"/>
      <c r="J19" s="201">
        <v>37.2246</v>
      </c>
      <c r="K19" s="201">
        <v>37.2246</v>
      </c>
      <c r="L19" s="201">
        <v>0</v>
      </c>
      <c r="M19" s="201">
        <v>0</v>
      </c>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row>
    <row r="20" spans="1:60" s="29" customFormat="1" ht="29.25" customHeight="1">
      <c r="A20" s="4"/>
      <c r="B20" s="300" t="s">
        <v>680</v>
      </c>
      <c r="C20" s="4" t="s">
        <v>859</v>
      </c>
      <c r="D20" s="4" t="s">
        <v>463</v>
      </c>
      <c r="E20" s="4" t="s">
        <v>860</v>
      </c>
      <c r="F20" s="4" t="s">
        <v>44</v>
      </c>
      <c r="G20" s="293" t="s">
        <v>835</v>
      </c>
      <c r="H20" s="295" t="s">
        <v>460</v>
      </c>
      <c r="I20" s="284" t="s">
        <v>836</v>
      </c>
      <c r="J20" s="201">
        <f>606.1+7.31+200.8</f>
        <v>814.21</v>
      </c>
      <c r="K20" s="201">
        <f>606.1+7.31+200.8</f>
        <v>814.21</v>
      </c>
      <c r="L20" s="201">
        <v>0</v>
      </c>
      <c r="M20" s="201">
        <v>0</v>
      </c>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row>
    <row r="21" spans="1:60" s="29" customFormat="1" ht="33" customHeight="1">
      <c r="A21" s="4"/>
      <c r="B21" s="301"/>
      <c r="C21" s="4" t="s">
        <v>859</v>
      </c>
      <c r="D21" s="4" t="s">
        <v>463</v>
      </c>
      <c r="E21" s="4" t="s">
        <v>860</v>
      </c>
      <c r="F21" s="4" t="s">
        <v>45</v>
      </c>
      <c r="G21" s="286"/>
      <c r="H21" s="286"/>
      <c r="I21" s="286"/>
      <c r="J21" s="201">
        <v>0.00424</v>
      </c>
      <c r="K21" s="201">
        <v>0.00424</v>
      </c>
      <c r="L21" s="201">
        <v>0</v>
      </c>
      <c r="M21" s="201">
        <v>0</v>
      </c>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row>
    <row r="22" spans="1:60" s="29" customFormat="1" ht="30" customHeight="1">
      <c r="A22" s="4"/>
      <c r="B22" s="16" t="s">
        <v>699</v>
      </c>
      <c r="C22" s="4" t="s">
        <v>700</v>
      </c>
      <c r="D22" s="4" t="s">
        <v>463</v>
      </c>
      <c r="E22" s="4" t="s">
        <v>701</v>
      </c>
      <c r="F22" s="4" t="s">
        <v>43</v>
      </c>
      <c r="G22" s="293" t="s">
        <v>862</v>
      </c>
      <c r="H22" s="295" t="s">
        <v>120</v>
      </c>
      <c r="I22" s="284" t="s">
        <v>602</v>
      </c>
      <c r="J22" s="201">
        <f>1263.417+137.6-13.2</f>
        <v>1387.8169999999998</v>
      </c>
      <c r="K22" s="201">
        <f>1263.417+137.6-13.2</f>
        <v>1387.8169999999998</v>
      </c>
      <c r="L22" s="201">
        <v>0</v>
      </c>
      <c r="M22" s="201">
        <v>0</v>
      </c>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row>
    <row r="23" spans="1:60" s="29" customFormat="1" ht="30" customHeight="1">
      <c r="A23" s="4"/>
      <c r="B23" s="180" t="s">
        <v>702</v>
      </c>
      <c r="C23" s="4" t="s">
        <v>700</v>
      </c>
      <c r="D23" s="4" t="s">
        <v>463</v>
      </c>
      <c r="E23" s="4" t="s">
        <v>703</v>
      </c>
      <c r="F23" s="4" t="s">
        <v>43</v>
      </c>
      <c r="G23" s="325"/>
      <c r="H23" s="311"/>
      <c r="I23" s="288"/>
      <c r="J23" s="201">
        <f>1897.4-136.287+38.6</f>
        <v>1799.713</v>
      </c>
      <c r="K23" s="201">
        <f>1897.4-136.287+38.6</f>
        <v>1799.713</v>
      </c>
      <c r="L23" s="201">
        <v>0</v>
      </c>
      <c r="M23" s="201">
        <v>0</v>
      </c>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row>
    <row r="24" spans="1:60" s="29" customFormat="1" ht="36.75" customHeight="1">
      <c r="A24" s="28"/>
      <c r="B24" s="16" t="s">
        <v>699</v>
      </c>
      <c r="C24" s="4" t="s">
        <v>700</v>
      </c>
      <c r="D24" s="4" t="s">
        <v>463</v>
      </c>
      <c r="E24" s="4" t="s">
        <v>701</v>
      </c>
      <c r="F24" s="4" t="s">
        <v>44</v>
      </c>
      <c r="G24" s="293" t="s">
        <v>835</v>
      </c>
      <c r="H24" s="295" t="s">
        <v>460</v>
      </c>
      <c r="I24" s="284" t="s">
        <v>836</v>
      </c>
      <c r="J24" s="201">
        <v>0</v>
      </c>
      <c r="K24" s="201">
        <v>0</v>
      </c>
      <c r="L24" s="201">
        <v>0</v>
      </c>
      <c r="M24" s="201">
        <v>0</v>
      </c>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row>
    <row r="25" spans="1:60" s="29" customFormat="1" ht="30" customHeight="1">
      <c r="A25" s="28"/>
      <c r="B25" s="11" t="s">
        <v>702</v>
      </c>
      <c r="C25" s="4" t="s">
        <v>700</v>
      </c>
      <c r="D25" s="4" t="s">
        <v>463</v>
      </c>
      <c r="E25" s="4" t="s">
        <v>703</v>
      </c>
      <c r="F25" s="4" t="s">
        <v>44</v>
      </c>
      <c r="G25" s="294"/>
      <c r="H25" s="294"/>
      <c r="I25" s="294"/>
      <c r="J25" s="201">
        <v>183.5</v>
      </c>
      <c r="K25" s="201">
        <f>167.289-1.06271</f>
        <v>166.22628999999998</v>
      </c>
      <c r="L25" s="201">
        <v>0</v>
      </c>
      <c r="M25" s="201">
        <v>0</v>
      </c>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row>
    <row r="26" spans="1:60" s="29" customFormat="1" ht="36" customHeight="1">
      <c r="A26" s="28"/>
      <c r="B26" s="243" t="s">
        <v>902</v>
      </c>
      <c r="C26" s="4" t="s">
        <v>700</v>
      </c>
      <c r="D26" s="4" t="s">
        <v>463</v>
      </c>
      <c r="E26" s="4" t="s">
        <v>776</v>
      </c>
      <c r="F26" s="4" t="s">
        <v>44</v>
      </c>
      <c r="G26" s="286"/>
      <c r="H26" s="286"/>
      <c r="I26" s="286"/>
      <c r="J26" s="201">
        <v>5.594</v>
      </c>
      <c r="K26" s="201">
        <f>5.594-0.25029</f>
        <v>5.343710000000001</v>
      </c>
      <c r="L26" s="201">
        <v>0</v>
      </c>
      <c r="M26" s="201">
        <v>0</v>
      </c>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row>
    <row r="27" spans="1:60" s="29" customFormat="1" ht="56.25" customHeight="1">
      <c r="A27" s="28"/>
      <c r="B27" s="389" t="s">
        <v>1000</v>
      </c>
      <c r="C27" s="4" t="s">
        <v>700</v>
      </c>
      <c r="D27" s="4" t="s">
        <v>463</v>
      </c>
      <c r="E27" s="119" t="s">
        <v>1045</v>
      </c>
      <c r="F27" s="4" t="s">
        <v>43</v>
      </c>
      <c r="G27" s="296" t="s">
        <v>1050</v>
      </c>
      <c r="H27" s="295" t="s">
        <v>383</v>
      </c>
      <c r="I27" s="296" t="s">
        <v>1049</v>
      </c>
      <c r="J27" s="201">
        <v>25</v>
      </c>
      <c r="K27" s="201">
        <v>25</v>
      </c>
      <c r="L27" s="201">
        <v>0</v>
      </c>
      <c r="M27" s="201">
        <v>0</v>
      </c>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row>
    <row r="28" spans="1:60" s="29" customFormat="1" ht="52.5" customHeight="1">
      <c r="A28" s="28"/>
      <c r="B28" s="390"/>
      <c r="C28" s="4" t="s">
        <v>859</v>
      </c>
      <c r="D28" s="4" t="s">
        <v>463</v>
      </c>
      <c r="E28" s="119" t="s">
        <v>1045</v>
      </c>
      <c r="F28" s="4" t="s">
        <v>43</v>
      </c>
      <c r="G28" s="393"/>
      <c r="H28" s="286"/>
      <c r="I28" s="393"/>
      <c r="J28" s="201">
        <v>119.869</v>
      </c>
      <c r="K28" s="201">
        <v>119.869</v>
      </c>
      <c r="L28" s="201">
        <v>0</v>
      </c>
      <c r="M28" s="201">
        <v>0</v>
      </c>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row>
    <row r="29" spans="1:13" ht="45" customHeight="1">
      <c r="A29" s="90" t="s">
        <v>190</v>
      </c>
      <c r="B29" s="92" t="s">
        <v>189</v>
      </c>
      <c r="C29" s="90"/>
      <c r="D29" s="93"/>
      <c r="E29" s="93"/>
      <c r="F29" s="90"/>
      <c r="G29" s="94"/>
      <c r="H29" s="93"/>
      <c r="I29" s="93"/>
      <c r="J29" s="200">
        <f>J30+J59</f>
        <v>18666.433220000003</v>
      </c>
      <c r="K29" s="200">
        <f>K30+K59</f>
        <v>18666.433220000003</v>
      </c>
      <c r="L29" s="200">
        <f>L30+L59</f>
        <v>22501.4</v>
      </c>
      <c r="M29" s="200">
        <f>M30+M59</f>
        <v>9611.328</v>
      </c>
    </row>
    <row r="30" spans="1:62" ht="45" customHeight="1">
      <c r="A30" s="69"/>
      <c r="B30" s="30" t="s">
        <v>225</v>
      </c>
      <c r="C30" s="14"/>
      <c r="D30" s="14"/>
      <c r="E30" s="14" t="s">
        <v>80</v>
      </c>
      <c r="F30" s="14"/>
      <c r="G30" s="14"/>
      <c r="H30" s="14"/>
      <c r="I30" s="14"/>
      <c r="J30" s="201">
        <f>J31+J47</f>
        <v>18651.015470000002</v>
      </c>
      <c r="K30" s="201">
        <f>K31+K47</f>
        <v>18651.015470000002</v>
      </c>
      <c r="L30" s="201">
        <f>L31+L47</f>
        <v>22501.4</v>
      </c>
      <c r="M30" s="201">
        <f>M31+M47</f>
        <v>9611.328</v>
      </c>
      <c r="BI30" s="33"/>
      <c r="BJ30" s="33"/>
    </row>
    <row r="31" spans="1:62" ht="30" customHeight="1">
      <c r="A31" s="69"/>
      <c r="B31" s="15" t="s">
        <v>242</v>
      </c>
      <c r="C31" s="14"/>
      <c r="D31" s="14"/>
      <c r="E31" s="14" t="s">
        <v>81</v>
      </c>
      <c r="F31" s="14"/>
      <c r="G31" s="14"/>
      <c r="H31" s="14"/>
      <c r="I31" s="14"/>
      <c r="J31" s="201">
        <f>J32+J43</f>
        <v>17621.175470000002</v>
      </c>
      <c r="K31" s="201">
        <f>K32+K43</f>
        <v>17621.175470000002</v>
      </c>
      <c r="L31" s="201">
        <f>L32+L43</f>
        <v>20761</v>
      </c>
      <c r="M31" s="201">
        <f>M32+M43</f>
        <v>5932.3</v>
      </c>
      <c r="BI31" s="33"/>
      <c r="BJ31" s="33"/>
    </row>
    <row r="32" spans="1:62" ht="30" customHeight="1">
      <c r="A32" s="69"/>
      <c r="B32" s="59" t="s">
        <v>226</v>
      </c>
      <c r="C32" s="34"/>
      <c r="D32" s="120"/>
      <c r="E32" s="14" t="s">
        <v>1040</v>
      </c>
      <c r="F32" s="120"/>
      <c r="G32" s="106"/>
      <c r="H32" s="4"/>
      <c r="I32" s="4"/>
      <c r="J32" s="201">
        <f>J33+J35+J36+J37+J38+J41+J42+J39+J34+J44+J45+J46+J40</f>
        <v>17621.175470000002</v>
      </c>
      <c r="K32" s="201">
        <f>K33+K35+K36+K37+K38+K41+K42+K39+K34+K44+K45+K46+K40</f>
        <v>17621.175470000002</v>
      </c>
      <c r="L32" s="201">
        <f>L33+L35+L36+L37+L38+L41+L42+L39+L34+L44+L45+L46+L40</f>
        <v>20761</v>
      </c>
      <c r="M32" s="201">
        <f>M33+M35+M36+M37+M38+M41+M42+M39+M34+M44+M45+M46+M40</f>
        <v>5932.3</v>
      </c>
      <c r="BI32" s="33"/>
      <c r="BJ32" s="33"/>
    </row>
    <row r="33" spans="1:62" ht="26.25" customHeight="1">
      <c r="A33" s="278"/>
      <c r="B33" s="307" t="s">
        <v>227</v>
      </c>
      <c r="C33" s="198" t="s">
        <v>829</v>
      </c>
      <c r="D33" s="120" t="s">
        <v>10</v>
      </c>
      <c r="E33" s="120" t="s">
        <v>228</v>
      </c>
      <c r="F33" s="120" t="s">
        <v>44</v>
      </c>
      <c r="G33" s="334" t="s">
        <v>943</v>
      </c>
      <c r="H33" s="278" t="s">
        <v>944</v>
      </c>
      <c r="I33" s="278" t="s">
        <v>945</v>
      </c>
      <c r="J33" s="201">
        <f>3693.9-778.70325+50+867.3513+474.621-500.821+559.77354-197.143+68.89131+309.6211-1.4167-150-751.51506</f>
        <v>3644.5592400000014</v>
      </c>
      <c r="K33" s="201">
        <f>3693.9-778.70325+50+867.3513+474.621-500.821+559.77354-197.143+68.89131+309.6211-1.4167-150-751.51506</f>
        <v>3644.5592400000014</v>
      </c>
      <c r="L33" s="201">
        <v>3693.9</v>
      </c>
      <c r="M33" s="201">
        <v>3693.9</v>
      </c>
      <c r="BI33" s="33"/>
      <c r="BJ33" s="33"/>
    </row>
    <row r="34" spans="1:62" ht="48" customHeight="1">
      <c r="A34" s="287"/>
      <c r="B34" s="308"/>
      <c r="C34" s="239" t="s">
        <v>829</v>
      </c>
      <c r="D34" s="120" t="s">
        <v>10</v>
      </c>
      <c r="E34" s="120" t="s">
        <v>228</v>
      </c>
      <c r="F34" s="120" t="s">
        <v>46</v>
      </c>
      <c r="G34" s="336"/>
      <c r="H34" s="287"/>
      <c r="I34" s="287"/>
      <c r="J34" s="201">
        <f>201.458+197.143</f>
        <v>398.601</v>
      </c>
      <c r="K34" s="201">
        <f>201.458+197.143</f>
        <v>398.601</v>
      </c>
      <c r="L34" s="201">
        <v>0</v>
      </c>
      <c r="M34" s="201">
        <v>0</v>
      </c>
      <c r="BI34" s="33"/>
      <c r="BJ34" s="33"/>
    </row>
    <row r="35" spans="1:62" ht="20.25" customHeight="1">
      <c r="A35" s="279"/>
      <c r="B35" s="309"/>
      <c r="C35" s="198" t="s">
        <v>829</v>
      </c>
      <c r="D35" s="120" t="s">
        <v>10</v>
      </c>
      <c r="E35" s="120" t="s">
        <v>228</v>
      </c>
      <c r="F35" s="120" t="s">
        <v>45</v>
      </c>
      <c r="G35" s="336"/>
      <c r="H35" s="287"/>
      <c r="I35" s="287"/>
      <c r="J35" s="201">
        <f>87.8+14.8-0.01775+13.715+1.4167-1.4167</f>
        <v>116.29724999999999</v>
      </c>
      <c r="K35" s="201">
        <f>87.8+14.8-0.01775+13.715+1.4167-1.4167</f>
        <v>116.29724999999999</v>
      </c>
      <c r="L35" s="201">
        <v>87.8</v>
      </c>
      <c r="M35" s="201">
        <v>87.8</v>
      </c>
      <c r="BI35" s="33"/>
      <c r="BJ35" s="33"/>
    </row>
    <row r="36" spans="1:62" ht="30" customHeight="1">
      <c r="A36" s="107"/>
      <c r="B36" s="108" t="s">
        <v>119</v>
      </c>
      <c r="C36" s="198" t="s">
        <v>829</v>
      </c>
      <c r="D36" s="120" t="s">
        <v>10</v>
      </c>
      <c r="E36" s="120" t="s">
        <v>231</v>
      </c>
      <c r="F36" s="120" t="s">
        <v>44</v>
      </c>
      <c r="G36" s="336"/>
      <c r="H36" s="287"/>
      <c r="I36" s="287"/>
      <c r="J36" s="201">
        <f>196-196</f>
        <v>0</v>
      </c>
      <c r="K36" s="201">
        <f>196-196</f>
        <v>0</v>
      </c>
      <c r="L36" s="201">
        <v>196</v>
      </c>
      <c r="M36" s="201">
        <v>196</v>
      </c>
      <c r="BI36" s="33"/>
      <c r="BJ36" s="33"/>
    </row>
    <row r="37" spans="1:62" ht="15" customHeight="1">
      <c r="A37" s="107"/>
      <c r="B37" s="15" t="s">
        <v>133</v>
      </c>
      <c r="C37" s="198" t="s">
        <v>829</v>
      </c>
      <c r="D37" s="120" t="s">
        <v>10</v>
      </c>
      <c r="E37" s="120" t="s">
        <v>232</v>
      </c>
      <c r="F37" s="120" t="s">
        <v>44</v>
      </c>
      <c r="G37" s="336"/>
      <c r="H37" s="287"/>
      <c r="I37" s="287"/>
      <c r="J37" s="201">
        <v>117</v>
      </c>
      <c r="K37" s="201">
        <v>117</v>
      </c>
      <c r="L37" s="201">
        <v>117</v>
      </c>
      <c r="M37" s="201">
        <v>117</v>
      </c>
      <c r="BI37" s="33"/>
      <c r="BJ37" s="33"/>
    </row>
    <row r="38" spans="1:62" ht="45" customHeight="1">
      <c r="A38" s="107"/>
      <c r="B38" s="112" t="s">
        <v>233</v>
      </c>
      <c r="C38" s="198" t="s">
        <v>829</v>
      </c>
      <c r="D38" s="120" t="s">
        <v>10</v>
      </c>
      <c r="E38" s="120" t="s">
        <v>234</v>
      </c>
      <c r="F38" s="120" t="s">
        <v>44</v>
      </c>
      <c r="G38" s="335"/>
      <c r="H38" s="279"/>
      <c r="I38" s="279"/>
      <c r="J38" s="201">
        <f>40.6-6.784</f>
        <v>33.816</v>
      </c>
      <c r="K38" s="201">
        <f>40.6-6.784</f>
        <v>33.816</v>
      </c>
      <c r="L38" s="201">
        <v>40.6</v>
      </c>
      <c r="M38" s="201">
        <v>40.6</v>
      </c>
      <c r="BI38" s="33"/>
      <c r="BJ38" s="33"/>
    </row>
    <row r="39" spans="1:62" ht="87.75" customHeight="1">
      <c r="A39" s="107"/>
      <c r="B39" s="276" t="s">
        <v>913</v>
      </c>
      <c r="C39" s="229" t="s">
        <v>829</v>
      </c>
      <c r="D39" s="120" t="s">
        <v>10</v>
      </c>
      <c r="E39" s="282" t="s">
        <v>912</v>
      </c>
      <c r="F39" s="280" t="s">
        <v>134</v>
      </c>
      <c r="G39" s="274" t="s">
        <v>914</v>
      </c>
      <c r="H39" s="278" t="s">
        <v>582</v>
      </c>
      <c r="I39" s="278" t="s">
        <v>583</v>
      </c>
      <c r="J39" s="201">
        <v>0</v>
      </c>
      <c r="K39" s="201">
        <v>0</v>
      </c>
      <c r="L39" s="201">
        <v>3765.7</v>
      </c>
      <c r="M39" s="201">
        <v>0</v>
      </c>
      <c r="BI39" s="33"/>
      <c r="BJ39" s="33"/>
    </row>
    <row r="40" spans="1:62" ht="84" customHeight="1">
      <c r="A40" s="107"/>
      <c r="B40" s="277"/>
      <c r="C40" s="257" t="s">
        <v>829</v>
      </c>
      <c r="D40" s="120" t="s">
        <v>53</v>
      </c>
      <c r="E40" s="283"/>
      <c r="F40" s="281"/>
      <c r="G40" s="275"/>
      <c r="H40" s="279"/>
      <c r="I40" s="279"/>
      <c r="J40" s="201">
        <v>6892.07598</v>
      </c>
      <c r="K40" s="201">
        <v>6892.07598</v>
      </c>
      <c r="L40" s="201">
        <v>0</v>
      </c>
      <c r="M40" s="201">
        <v>0</v>
      </c>
      <c r="BI40" s="33"/>
      <c r="BJ40" s="33"/>
    </row>
    <row r="41" spans="1:62" ht="34.5" customHeight="1">
      <c r="A41" s="120"/>
      <c r="B41" s="11" t="s">
        <v>243</v>
      </c>
      <c r="C41" s="198" t="s">
        <v>829</v>
      </c>
      <c r="D41" s="120" t="s">
        <v>269</v>
      </c>
      <c r="E41" s="120" t="s">
        <v>235</v>
      </c>
      <c r="F41" s="120" t="s">
        <v>134</v>
      </c>
      <c r="G41" s="334" t="s">
        <v>577</v>
      </c>
      <c r="H41" s="278" t="s">
        <v>50</v>
      </c>
      <c r="I41" s="278" t="s">
        <v>578</v>
      </c>
      <c r="J41" s="201">
        <v>0</v>
      </c>
      <c r="K41" s="201">
        <v>0</v>
      </c>
      <c r="L41" s="201">
        <v>12128</v>
      </c>
      <c r="M41" s="201">
        <v>1065</v>
      </c>
      <c r="BI41" s="33"/>
      <c r="BJ41" s="33"/>
    </row>
    <row r="42" spans="1:62" ht="39" customHeight="1">
      <c r="A42" s="120"/>
      <c r="B42" s="11" t="s">
        <v>837</v>
      </c>
      <c r="C42" s="198" t="s">
        <v>829</v>
      </c>
      <c r="D42" s="120" t="s">
        <v>269</v>
      </c>
      <c r="E42" s="120" t="s">
        <v>838</v>
      </c>
      <c r="F42" s="120" t="s">
        <v>46</v>
      </c>
      <c r="G42" s="335"/>
      <c r="H42" s="279"/>
      <c r="I42" s="279"/>
      <c r="J42" s="201">
        <v>6180</v>
      </c>
      <c r="K42" s="201">
        <v>6180</v>
      </c>
      <c r="L42" s="201">
        <v>0</v>
      </c>
      <c r="M42" s="201">
        <v>0</v>
      </c>
      <c r="BI42" s="33"/>
      <c r="BJ42" s="33"/>
    </row>
    <row r="43" spans="1:62" ht="62.25" customHeight="1">
      <c r="A43" s="69"/>
      <c r="B43" s="11" t="s">
        <v>236</v>
      </c>
      <c r="C43" s="198" t="s">
        <v>829</v>
      </c>
      <c r="D43" s="120" t="s">
        <v>10</v>
      </c>
      <c r="E43" s="120" t="s">
        <v>237</v>
      </c>
      <c r="F43" s="120" t="s">
        <v>44</v>
      </c>
      <c r="G43" s="65" t="s">
        <v>520</v>
      </c>
      <c r="H43" s="3" t="s">
        <v>51</v>
      </c>
      <c r="I43" s="3" t="s">
        <v>229</v>
      </c>
      <c r="J43" s="201">
        <v>0</v>
      </c>
      <c r="K43" s="201">
        <v>0</v>
      </c>
      <c r="L43" s="201">
        <v>0</v>
      </c>
      <c r="M43" s="201">
        <v>0</v>
      </c>
      <c r="BI43" s="33"/>
      <c r="BJ43" s="33"/>
    </row>
    <row r="44" spans="1:62" ht="62.25" customHeight="1">
      <c r="A44" s="69"/>
      <c r="B44" s="11" t="s">
        <v>1019</v>
      </c>
      <c r="C44" s="257" t="s">
        <v>829</v>
      </c>
      <c r="D44" s="120" t="s">
        <v>10</v>
      </c>
      <c r="E44" s="120" t="s">
        <v>1017</v>
      </c>
      <c r="F44" s="120" t="s">
        <v>44</v>
      </c>
      <c r="G44" s="334" t="s">
        <v>520</v>
      </c>
      <c r="H44" s="278" t="s">
        <v>51</v>
      </c>
      <c r="I44" s="278" t="s">
        <v>229</v>
      </c>
      <c r="J44" s="201">
        <v>16.38</v>
      </c>
      <c r="K44" s="201">
        <v>16.38</v>
      </c>
      <c r="L44" s="201">
        <v>152</v>
      </c>
      <c r="M44" s="201">
        <v>152</v>
      </c>
      <c r="BI44" s="33"/>
      <c r="BJ44" s="33"/>
    </row>
    <row r="45" spans="1:62" ht="62.25" customHeight="1">
      <c r="A45" s="69"/>
      <c r="B45" s="11" t="s">
        <v>1020</v>
      </c>
      <c r="C45" s="257" t="s">
        <v>829</v>
      </c>
      <c r="D45" s="120" t="s">
        <v>10</v>
      </c>
      <c r="E45" s="120" t="s">
        <v>1018</v>
      </c>
      <c r="F45" s="120" t="s">
        <v>44</v>
      </c>
      <c r="G45" s="294"/>
      <c r="H45" s="294"/>
      <c r="I45" s="294"/>
      <c r="J45" s="201">
        <v>60</v>
      </c>
      <c r="K45" s="201">
        <v>60</v>
      </c>
      <c r="L45" s="201">
        <v>156</v>
      </c>
      <c r="M45" s="201">
        <v>156</v>
      </c>
      <c r="BI45" s="33"/>
      <c r="BJ45" s="33"/>
    </row>
    <row r="46" spans="1:62" ht="62.25" customHeight="1">
      <c r="A46" s="69"/>
      <c r="B46" s="11" t="s">
        <v>1021</v>
      </c>
      <c r="C46" s="257" t="s">
        <v>829</v>
      </c>
      <c r="D46" s="120" t="s">
        <v>10</v>
      </c>
      <c r="E46" s="120" t="s">
        <v>1022</v>
      </c>
      <c r="F46" s="120" t="s">
        <v>44</v>
      </c>
      <c r="G46" s="286"/>
      <c r="H46" s="286"/>
      <c r="I46" s="286"/>
      <c r="J46" s="201">
        <v>162.446</v>
      </c>
      <c r="K46" s="201">
        <v>162.446</v>
      </c>
      <c r="L46" s="201">
        <v>424</v>
      </c>
      <c r="M46" s="201">
        <v>424</v>
      </c>
      <c r="BI46" s="33"/>
      <c r="BJ46" s="33"/>
    </row>
    <row r="47" spans="1:62" ht="30" customHeight="1">
      <c r="A47" s="4"/>
      <c r="B47" s="15" t="s">
        <v>256</v>
      </c>
      <c r="C47" s="14"/>
      <c r="D47" s="14"/>
      <c r="E47" s="14" t="s">
        <v>82</v>
      </c>
      <c r="F47" s="14"/>
      <c r="G47" s="117"/>
      <c r="H47" s="14"/>
      <c r="I47" s="14"/>
      <c r="J47" s="201">
        <f>J48+J53+J54+J58+J55+J56+J57+J49+J50+J51+J52</f>
        <v>1029.8400000000001</v>
      </c>
      <c r="K47" s="201">
        <f>K48+K53+K54+K58+K55+K56+K57+K49+K50+K51+K52</f>
        <v>1029.8400000000001</v>
      </c>
      <c r="L47" s="201">
        <f>L48+L53+L54+L58+L55+L56+L57+L49+L50+L51+L52</f>
        <v>1740.3999999999999</v>
      </c>
      <c r="M47" s="201">
        <f>M48+M53+M54+M58+M55+M56+M57+M49+M50+M51+M52</f>
        <v>3679.028</v>
      </c>
      <c r="BI47" s="33"/>
      <c r="BJ47" s="33"/>
    </row>
    <row r="48" spans="1:62" ht="21" customHeight="1">
      <c r="A48" s="64"/>
      <c r="B48" s="59" t="s">
        <v>238</v>
      </c>
      <c r="C48" s="198" t="s">
        <v>829</v>
      </c>
      <c r="D48" s="120" t="s">
        <v>9</v>
      </c>
      <c r="E48" s="120" t="s">
        <v>239</v>
      </c>
      <c r="F48" s="120" t="s">
        <v>44</v>
      </c>
      <c r="G48" s="334" t="s">
        <v>520</v>
      </c>
      <c r="H48" s="278" t="s">
        <v>51</v>
      </c>
      <c r="I48" s="278" t="s">
        <v>229</v>
      </c>
      <c r="J48" s="201">
        <v>0</v>
      </c>
      <c r="K48" s="201">
        <v>0</v>
      </c>
      <c r="L48" s="201">
        <v>0</v>
      </c>
      <c r="M48" s="201">
        <v>0</v>
      </c>
      <c r="BI48" s="33"/>
      <c r="BJ48" s="33"/>
    </row>
    <row r="49" spans="1:62" ht="59.25" customHeight="1">
      <c r="A49" s="258"/>
      <c r="B49" s="118" t="s">
        <v>1034</v>
      </c>
      <c r="C49" s="257" t="s">
        <v>829</v>
      </c>
      <c r="D49" s="120" t="s">
        <v>9</v>
      </c>
      <c r="E49" s="3" t="s">
        <v>1033</v>
      </c>
      <c r="F49" s="255" t="s">
        <v>44</v>
      </c>
      <c r="G49" s="336"/>
      <c r="H49" s="287"/>
      <c r="I49" s="287"/>
      <c r="J49" s="201">
        <v>329</v>
      </c>
      <c r="K49" s="201">
        <v>329</v>
      </c>
      <c r="L49" s="201">
        <v>752</v>
      </c>
      <c r="M49" s="201">
        <v>752</v>
      </c>
      <c r="BI49" s="33"/>
      <c r="BJ49" s="33"/>
    </row>
    <row r="50" spans="1:62" ht="40.5" customHeight="1">
      <c r="A50" s="258"/>
      <c r="B50" s="59" t="s">
        <v>1037</v>
      </c>
      <c r="C50" s="257" t="s">
        <v>829</v>
      </c>
      <c r="D50" s="120" t="s">
        <v>9</v>
      </c>
      <c r="E50" s="3" t="s">
        <v>1035</v>
      </c>
      <c r="F50" s="255" t="s">
        <v>44</v>
      </c>
      <c r="G50" s="336"/>
      <c r="H50" s="287"/>
      <c r="I50" s="287"/>
      <c r="J50" s="201">
        <v>108.7</v>
      </c>
      <c r="K50" s="201">
        <v>108.7</v>
      </c>
      <c r="L50" s="201">
        <v>128</v>
      </c>
      <c r="M50" s="201">
        <v>128</v>
      </c>
      <c r="BI50" s="33"/>
      <c r="BJ50" s="33"/>
    </row>
    <row r="51" spans="1:62" ht="47.25" customHeight="1">
      <c r="A51" s="258"/>
      <c r="B51" s="59" t="s">
        <v>1038</v>
      </c>
      <c r="C51" s="257" t="s">
        <v>829</v>
      </c>
      <c r="D51" s="120" t="s">
        <v>9</v>
      </c>
      <c r="E51" s="3" t="s">
        <v>1036</v>
      </c>
      <c r="F51" s="255" t="s">
        <v>44</v>
      </c>
      <c r="G51" s="336"/>
      <c r="H51" s="287"/>
      <c r="I51" s="287"/>
      <c r="J51" s="201">
        <v>176</v>
      </c>
      <c r="K51" s="201">
        <v>176</v>
      </c>
      <c r="L51" s="201">
        <v>176</v>
      </c>
      <c r="M51" s="201">
        <v>176</v>
      </c>
      <c r="BI51" s="33"/>
      <c r="BJ51" s="33"/>
    </row>
    <row r="52" spans="1:62" ht="34.5" customHeight="1">
      <c r="A52" s="64"/>
      <c r="B52" s="59" t="s">
        <v>1039</v>
      </c>
      <c r="C52" s="257" t="s">
        <v>829</v>
      </c>
      <c r="D52" s="120" t="s">
        <v>9</v>
      </c>
      <c r="E52" s="3" t="s">
        <v>1023</v>
      </c>
      <c r="F52" s="255" t="s">
        <v>44</v>
      </c>
      <c r="G52" s="336"/>
      <c r="H52" s="287"/>
      <c r="I52" s="287"/>
      <c r="J52" s="201">
        <v>300</v>
      </c>
      <c r="K52" s="201">
        <v>300</v>
      </c>
      <c r="L52" s="201">
        <v>603.3</v>
      </c>
      <c r="M52" s="201">
        <v>261.18918</v>
      </c>
      <c r="BI52" s="33"/>
      <c r="BJ52" s="33"/>
    </row>
    <row r="53" spans="1:62" ht="34.5" customHeight="1">
      <c r="A53" s="280"/>
      <c r="B53" s="304" t="s">
        <v>240</v>
      </c>
      <c r="C53" s="198" t="s">
        <v>829</v>
      </c>
      <c r="D53" s="120" t="s">
        <v>10</v>
      </c>
      <c r="E53" s="278" t="s">
        <v>241</v>
      </c>
      <c r="F53" s="280" t="s">
        <v>44</v>
      </c>
      <c r="G53" s="336"/>
      <c r="H53" s="287"/>
      <c r="I53" s="287"/>
      <c r="J53" s="201">
        <v>0</v>
      </c>
      <c r="K53" s="201">
        <v>0</v>
      </c>
      <c r="L53" s="202">
        <v>0</v>
      </c>
      <c r="M53" s="202">
        <v>0</v>
      </c>
      <c r="BI53" s="33"/>
      <c r="BJ53" s="33"/>
    </row>
    <row r="54" spans="1:62" ht="30" customHeight="1">
      <c r="A54" s="281"/>
      <c r="B54" s="306"/>
      <c r="C54" s="198" t="s">
        <v>829</v>
      </c>
      <c r="D54" s="120" t="s">
        <v>9</v>
      </c>
      <c r="E54" s="279"/>
      <c r="F54" s="281"/>
      <c r="G54" s="335"/>
      <c r="H54" s="279"/>
      <c r="I54" s="279"/>
      <c r="J54" s="201">
        <v>0</v>
      </c>
      <c r="K54" s="201">
        <v>0</v>
      </c>
      <c r="L54" s="201">
        <v>0</v>
      </c>
      <c r="M54" s="201">
        <v>0</v>
      </c>
      <c r="BI54" s="33"/>
      <c r="BJ54" s="33"/>
    </row>
    <row r="55" spans="1:62" ht="49.5" customHeight="1">
      <c r="A55" s="256"/>
      <c r="B55" s="112" t="s">
        <v>1025</v>
      </c>
      <c r="C55" s="257" t="s">
        <v>829</v>
      </c>
      <c r="D55" s="120" t="s">
        <v>10</v>
      </c>
      <c r="E55" s="4" t="s">
        <v>1024</v>
      </c>
      <c r="F55" s="120" t="s">
        <v>44</v>
      </c>
      <c r="G55" s="334" t="s">
        <v>520</v>
      </c>
      <c r="H55" s="278" t="s">
        <v>51</v>
      </c>
      <c r="I55" s="278" t="s">
        <v>229</v>
      </c>
      <c r="J55" s="201">
        <v>13.3</v>
      </c>
      <c r="K55" s="201">
        <v>13.3</v>
      </c>
      <c r="L55" s="201">
        <v>13.3</v>
      </c>
      <c r="M55" s="201">
        <v>13.3</v>
      </c>
      <c r="BI55" s="33"/>
      <c r="BJ55" s="33"/>
    </row>
    <row r="56" spans="1:62" ht="49.5" customHeight="1">
      <c r="A56" s="256"/>
      <c r="B56" s="112" t="s">
        <v>1027</v>
      </c>
      <c r="C56" s="257" t="s">
        <v>829</v>
      </c>
      <c r="D56" s="120" t="s">
        <v>10</v>
      </c>
      <c r="E56" s="119" t="s">
        <v>1026</v>
      </c>
      <c r="F56" s="256" t="s">
        <v>44</v>
      </c>
      <c r="G56" s="394"/>
      <c r="H56" s="394"/>
      <c r="I56" s="394"/>
      <c r="J56" s="201">
        <v>28.2</v>
      </c>
      <c r="K56" s="201">
        <v>28.2</v>
      </c>
      <c r="L56" s="201">
        <v>28.2</v>
      </c>
      <c r="M56" s="201">
        <v>28.2</v>
      </c>
      <c r="BI56" s="33"/>
      <c r="BJ56" s="33"/>
    </row>
    <row r="57" spans="1:62" ht="49.5" customHeight="1">
      <c r="A57" s="256"/>
      <c r="B57" s="112" t="s">
        <v>1028</v>
      </c>
      <c r="C57" s="257" t="s">
        <v>829</v>
      </c>
      <c r="D57" s="120" t="s">
        <v>10</v>
      </c>
      <c r="E57" s="119" t="s">
        <v>1029</v>
      </c>
      <c r="F57" s="256" t="s">
        <v>44</v>
      </c>
      <c r="G57" s="393"/>
      <c r="H57" s="393"/>
      <c r="I57" s="393"/>
      <c r="J57" s="201">
        <v>36.3</v>
      </c>
      <c r="K57" s="201">
        <v>36.3</v>
      </c>
      <c r="L57" s="201">
        <v>39.6</v>
      </c>
      <c r="M57" s="201">
        <v>39.6</v>
      </c>
      <c r="BI57" s="33"/>
      <c r="BJ57" s="33"/>
    </row>
    <row r="58" spans="1:62" ht="90" customHeight="1">
      <c r="A58" s="197"/>
      <c r="B58" s="11" t="s">
        <v>839</v>
      </c>
      <c r="C58" s="198" t="s">
        <v>829</v>
      </c>
      <c r="D58" s="120" t="s">
        <v>9</v>
      </c>
      <c r="E58" s="14" t="s">
        <v>840</v>
      </c>
      <c r="F58" s="197" t="s">
        <v>44</v>
      </c>
      <c r="G58" s="164" t="s">
        <v>841</v>
      </c>
      <c r="H58" s="119" t="s">
        <v>383</v>
      </c>
      <c r="I58" s="119" t="s">
        <v>842</v>
      </c>
      <c r="J58" s="201">
        <f>32.589+5.751</f>
        <v>38.339999999999996</v>
      </c>
      <c r="K58" s="201">
        <f>32.589+5.751</f>
        <v>38.339999999999996</v>
      </c>
      <c r="L58" s="201">
        <v>0</v>
      </c>
      <c r="M58" s="201">
        <f>342.11082+1938.628</f>
        <v>2280.73882</v>
      </c>
      <c r="BI58" s="33"/>
      <c r="BJ58" s="33"/>
    </row>
    <row r="59" spans="1:62" ht="54" customHeight="1">
      <c r="A59" s="192"/>
      <c r="B59" s="11" t="s">
        <v>413</v>
      </c>
      <c r="C59" s="193"/>
      <c r="D59" s="192"/>
      <c r="E59" s="192" t="s">
        <v>78</v>
      </c>
      <c r="F59" s="192"/>
      <c r="G59" s="5"/>
      <c r="H59" s="57"/>
      <c r="I59" s="7"/>
      <c r="J59" s="201">
        <f>J60</f>
        <v>15.41775</v>
      </c>
      <c r="K59" s="201">
        <f>K60</f>
        <v>15.41775</v>
      </c>
      <c r="L59" s="201">
        <f>L60</f>
        <v>0</v>
      </c>
      <c r="M59" s="201">
        <f>M60</f>
        <v>0</v>
      </c>
      <c r="BI59" s="33"/>
      <c r="BJ59" s="33"/>
    </row>
    <row r="60" spans="1:62" ht="36" customHeight="1">
      <c r="A60" s="192"/>
      <c r="B60" s="11" t="s">
        <v>843</v>
      </c>
      <c r="C60" s="198" t="s">
        <v>829</v>
      </c>
      <c r="D60" s="120" t="s">
        <v>10</v>
      </c>
      <c r="E60" s="119" t="s">
        <v>804</v>
      </c>
      <c r="F60" s="197" t="s">
        <v>844</v>
      </c>
      <c r="G60" s="164" t="s">
        <v>845</v>
      </c>
      <c r="H60" s="119" t="s">
        <v>383</v>
      </c>
      <c r="I60" s="119" t="s">
        <v>846</v>
      </c>
      <c r="J60" s="201">
        <f>15.4+0.01775</f>
        <v>15.41775</v>
      </c>
      <c r="K60" s="201">
        <f>15.4+0.01775</f>
        <v>15.41775</v>
      </c>
      <c r="L60" s="201">
        <v>0</v>
      </c>
      <c r="M60" s="201">
        <v>0</v>
      </c>
      <c r="BI60" s="33"/>
      <c r="BJ60" s="33"/>
    </row>
    <row r="61" spans="1:62" ht="60" customHeight="1">
      <c r="A61" s="96">
        <v>2505</v>
      </c>
      <c r="B61" s="95" t="s">
        <v>264</v>
      </c>
      <c r="C61" s="96"/>
      <c r="D61" s="96"/>
      <c r="E61" s="96"/>
      <c r="F61" s="96"/>
      <c r="G61" s="96"/>
      <c r="H61" s="96"/>
      <c r="I61" s="96"/>
      <c r="J61" s="200">
        <f>J62+J82</f>
        <v>68694.27387</v>
      </c>
      <c r="K61" s="200">
        <f>K62+K82</f>
        <v>68694.27387</v>
      </c>
      <c r="L61" s="200">
        <f>L62+L82</f>
        <v>42535.0708</v>
      </c>
      <c r="M61" s="200">
        <f>M62+M82</f>
        <v>16271.2</v>
      </c>
      <c r="BI61" s="33"/>
      <c r="BJ61" s="33"/>
    </row>
    <row r="62" spans="1:62" ht="30" customHeight="1">
      <c r="A62" s="113"/>
      <c r="B62" s="112" t="s">
        <v>267</v>
      </c>
      <c r="C62" s="6"/>
      <c r="D62" s="6"/>
      <c r="E62" s="113">
        <v>1100000000</v>
      </c>
      <c r="F62" s="113"/>
      <c r="G62" s="113"/>
      <c r="H62" s="113"/>
      <c r="I62" s="113"/>
      <c r="J62" s="201">
        <f>J63+J69+J77</f>
        <v>64129.51244</v>
      </c>
      <c r="K62" s="201">
        <f>K63+K69+K77</f>
        <v>64129.51244</v>
      </c>
      <c r="L62" s="201">
        <f>L63+L69+L77</f>
        <v>42535.0708</v>
      </c>
      <c r="M62" s="201">
        <f>M63+M69+M77</f>
        <v>16271.2</v>
      </c>
      <c r="BI62" s="33"/>
      <c r="BJ62" s="33"/>
    </row>
    <row r="63" spans="1:62" ht="30" customHeight="1">
      <c r="A63" s="113"/>
      <c r="B63" s="112" t="s">
        <v>265</v>
      </c>
      <c r="C63" s="6"/>
      <c r="D63" s="6"/>
      <c r="E63" s="113">
        <v>1110000000</v>
      </c>
      <c r="F63" s="113"/>
      <c r="G63" s="113"/>
      <c r="H63" s="113"/>
      <c r="I63" s="113"/>
      <c r="J63" s="201">
        <f>J64+J65+J67+J68+J66</f>
        <v>23054.65121</v>
      </c>
      <c r="K63" s="201">
        <f>K64+K65+K67+K68+K66</f>
        <v>23054.65121</v>
      </c>
      <c r="L63" s="201">
        <f>L64+L65+L67+L68+L66</f>
        <v>3500</v>
      </c>
      <c r="M63" s="201">
        <f>M64+M65+M67+M68+M66</f>
        <v>11871.2</v>
      </c>
      <c r="BI63" s="33"/>
      <c r="BJ63" s="33"/>
    </row>
    <row r="64" spans="1:62" ht="30" customHeight="1">
      <c r="A64" s="113"/>
      <c r="B64" s="112" t="s">
        <v>266</v>
      </c>
      <c r="C64" s="6" t="s">
        <v>5</v>
      </c>
      <c r="D64" s="4" t="s">
        <v>269</v>
      </c>
      <c r="E64" s="113">
        <v>1110100010</v>
      </c>
      <c r="F64" s="113">
        <v>410</v>
      </c>
      <c r="G64" s="296" t="s">
        <v>586</v>
      </c>
      <c r="H64" s="276" t="s">
        <v>579</v>
      </c>
      <c r="I64" s="276" t="s">
        <v>580</v>
      </c>
      <c r="J64" s="201">
        <f>1300+74.856+193.95988+28.5</f>
        <v>1597.31588</v>
      </c>
      <c r="K64" s="201">
        <f>1300+74.856+193.95988+28.5</f>
        <v>1597.31588</v>
      </c>
      <c r="L64" s="201">
        <f>3500-80.59273</f>
        <v>3419.40727</v>
      </c>
      <c r="M64" s="201">
        <v>0</v>
      </c>
      <c r="BI64" s="33"/>
      <c r="BJ64" s="33"/>
    </row>
    <row r="65" spans="1:62" ht="15" customHeight="1">
      <c r="A65" s="170"/>
      <c r="B65" s="11" t="s">
        <v>268</v>
      </c>
      <c r="C65" s="6" t="s">
        <v>5</v>
      </c>
      <c r="D65" s="3" t="s">
        <v>269</v>
      </c>
      <c r="E65" s="121">
        <v>1110100020</v>
      </c>
      <c r="F65" s="170" t="s">
        <v>134</v>
      </c>
      <c r="G65" s="297"/>
      <c r="H65" s="299"/>
      <c r="I65" s="299"/>
      <c r="J65" s="201">
        <f>750+29.81477+60-478.09723</f>
        <v>361.71753999999993</v>
      </c>
      <c r="K65" s="201">
        <f>750+29.81477+60-478.09723</f>
        <v>361.71753999999993</v>
      </c>
      <c r="L65" s="201">
        <v>80.59273</v>
      </c>
      <c r="M65" s="201">
        <v>0</v>
      </c>
      <c r="BI65" s="33"/>
      <c r="BJ65" s="33"/>
    </row>
    <row r="66" spans="1:62" ht="15" customHeight="1">
      <c r="A66" s="260"/>
      <c r="B66" s="11" t="s">
        <v>268</v>
      </c>
      <c r="C66" s="6" t="s">
        <v>5</v>
      </c>
      <c r="D66" s="3" t="s">
        <v>269</v>
      </c>
      <c r="E66" s="121">
        <v>1110100020</v>
      </c>
      <c r="F66" s="260" t="s">
        <v>44</v>
      </c>
      <c r="G66" s="297"/>
      <c r="H66" s="299"/>
      <c r="I66" s="299"/>
      <c r="J66" s="201">
        <v>1</v>
      </c>
      <c r="K66" s="201">
        <v>1</v>
      </c>
      <c r="L66" s="201">
        <v>0</v>
      </c>
      <c r="M66" s="201">
        <v>0</v>
      </c>
      <c r="BI66" s="33"/>
      <c r="BJ66" s="33"/>
    </row>
    <row r="67" spans="1:62" ht="75" customHeight="1">
      <c r="A67" s="170"/>
      <c r="B67" s="112" t="s">
        <v>506</v>
      </c>
      <c r="C67" s="6" t="s">
        <v>5</v>
      </c>
      <c r="D67" s="4" t="s">
        <v>269</v>
      </c>
      <c r="E67" s="14" t="s">
        <v>508</v>
      </c>
      <c r="F67" s="170" t="s">
        <v>134</v>
      </c>
      <c r="G67" s="297"/>
      <c r="H67" s="299"/>
      <c r="I67" s="299"/>
      <c r="J67" s="201">
        <f>5767.77164+14449-766.23943-2438.96-253.95988-744.48388-1129.07372-376.09968</f>
        <v>14507.95505</v>
      </c>
      <c r="K67" s="201">
        <f>5767.77164+14449-766.23943-2438.96-253.95988-744.48388-1129.07372-376.09968</f>
        <v>14507.95505</v>
      </c>
      <c r="L67" s="201">
        <v>0</v>
      </c>
      <c r="M67" s="201">
        <v>11871.2</v>
      </c>
      <c r="BI67" s="33"/>
      <c r="BJ67" s="33"/>
    </row>
    <row r="68" spans="1:62" ht="45" customHeight="1">
      <c r="A68" s="170"/>
      <c r="B68" s="112" t="s">
        <v>507</v>
      </c>
      <c r="C68" s="6" t="s">
        <v>5</v>
      </c>
      <c r="D68" s="4" t="s">
        <v>269</v>
      </c>
      <c r="E68" s="14" t="s">
        <v>509</v>
      </c>
      <c r="F68" s="170" t="s">
        <v>134</v>
      </c>
      <c r="G68" s="297"/>
      <c r="H68" s="299"/>
      <c r="I68" s="299"/>
      <c r="J68" s="201">
        <f>7983.5+7983.5-102.07-1345.80226-7932.465</f>
        <v>6586.66274</v>
      </c>
      <c r="K68" s="201">
        <f>7983.5+7983.5-102.07-1345.80226-7932.465</f>
        <v>6586.66274</v>
      </c>
      <c r="L68" s="201">
        <v>0</v>
      </c>
      <c r="M68" s="201">
        <v>0</v>
      </c>
      <c r="BI68" s="33"/>
      <c r="BJ68" s="33"/>
    </row>
    <row r="69" spans="1:62" ht="30" customHeight="1">
      <c r="A69" s="113"/>
      <c r="B69" s="112" t="s">
        <v>270</v>
      </c>
      <c r="C69" s="6"/>
      <c r="D69" s="4"/>
      <c r="E69" s="113">
        <v>1120000000</v>
      </c>
      <c r="F69" s="113"/>
      <c r="G69" s="297"/>
      <c r="H69" s="299"/>
      <c r="I69" s="299"/>
      <c r="J69" s="201">
        <f>J70+J73+J75+J76+J74+J72+J71</f>
        <v>19962.838</v>
      </c>
      <c r="K69" s="201">
        <f>K70+K73+K75+K76+K74+K72+K71</f>
        <v>19962.838</v>
      </c>
      <c r="L69" s="201">
        <f>L70+L73+L75+L76+L74+L72+L71</f>
        <v>39035.0708</v>
      </c>
      <c r="M69" s="201">
        <f>M70+M73+M75+M76+M74+M72+M71</f>
        <v>4400</v>
      </c>
      <c r="BI69" s="33"/>
      <c r="BJ69" s="33"/>
    </row>
    <row r="70" spans="1:62" ht="30" customHeight="1">
      <c r="A70" s="170"/>
      <c r="B70" s="112" t="s">
        <v>271</v>
      </c>
      <c r="C70" s="6" t="s">
        <v>5</v>
      </c>
      <c r="D70" s="4" t="s">
        <v>269</v>
      </c>
      <c r="E70" s="113">
        <v>1120100010</v>
      </c>
      <c r="F70" s="113">
        <v>410</v>
      </c>
      <c r="G70" s="297"/>
      <c r="H70" s="299"/>
      <c r="I70" s="299"/>
      <c r="J70" s="201">
        <f>2300+130.192-239.52512-1126.41954-80.445-518.61034</f>
        <v>465.19200000000023</v>
      </c>
      <c r="K70" s="201">
        <f>2300+130.192-239.52512-1126.41954-80.445-518.61034</f>
        <v>465.19200000000023</v>
      </c>
      <c r="L70" s="201">
        <v>1700</v>
      </c>
      <c r="M70" s="201">
        <v>0</v>
      </c>
      <c r="BI70" s="33"/>
      <c r="BJ70" s="33"/>
    </row>
    <row r="71" spans="1:62" ht="21.75" customHeight="1">
      <c r="A71" s="248"/>
      <c r="B71" s="304" t="s">
        <v>272</v>
      </c>
      <c r="C71" s="6" t="s">
        <v>5</v>
      </c>
      <c r="D71" s="4" t="s">
        <v>269</v>
      </c>
      <c r="E71" s="276">
        <v>1120100020</v>
      </c>
      <c r="F71" s="113">
        <v>240</v>
      </c>
      <c r="G71" s="297"/>
      <c r="H71" s="299"/>
      <c r="I71" s="299"/>
      <c r="J71" s="201">
        <f>514.78-14.733</f>
        <v>500.04699999999997</v>
      </c>
      <c r="K71" s="201">
        <f>514.78-14.733</f>
        <v>500.04699999999997</v>
      </c>
      <c r="L71" s="201">
        <v>0</v>
      </c>
      <c r="M71" s="201">
        <v>0</v>
      </c>
      <c r="BI71" s="33"/>
      <c r="BJ71" s="33"/>
    </row>
    <row r="72" spans="1:62" ht="19.5" customHeight="1">
      <c r="A72" s="64"/>
      <c r="B72" s="305"/>
      <c r="C72" s="6" t="s">
        <v>5</v>
      </c>
      <c r="D72" s="4" t="s">
        <v>269</v>
      </c>
      <c r="E72" s="299"/>
      <c r="F72" s="113">
        <v>410</v>
      </c>
      <c r="G72" s="297"/>
      <c r="H72" s="299"/>
      <c r="I72" s="299"/>
      <c r="J72" s="201">
        <v>0</v>
      </c>
      <c r="K72" s="201">
        <v>0</v>
      </c>
      <c r="L72" s="201">
        <v>0</v>
      </c>
      <c r="M72" s="201">
        <v>0</v>
      </c>
      <c r="BI72" s="33"/>
      <c r="BJ72" s="33"/>
    </row>
    <row r="73" spans="1:62" ht="21" customHeight="1">
      <c r="A73" s="64"/>
      <c r="B73" s="306"/>
      <c r="C73" s="6" t="s">
        <v>5</v>
      </c>
      <c r="D73" s="4" t="s">
        <v>269</v>
      </c>
      <c r="E73" s="277"/>
      <c r="F73" s="113">
        <v>810</v>
      </c>
      <c r="G73" s="297"/>
      <c r="H73" s="299"/>
      <c r="I73" s="299"/>
      <c r="J73" s="201">
        <f>7302.8+1500+784.858</f>
        <v>9587.658</v>
      </c>
      <c r="K73" s="201">
        <f>7302.8+1500+784.858</f>
        <v>9587.658</v>
      </c>
      <c r="L73" s="201">
        <v>0</v>
      </c>
      <c r="M73" s="201">
        <v>0</v>
      </c>
      <c r="BI73" s="33"/>
      <c r="BJ73" s="33"/>
    </row>
    <row r="74" spans="1:62" ht="81" customHeight="1">
      <c r="A74" s="159"/>
      <c r="B74" s="160" t="s">
        <v>514</v>
      </c>
      <c r="C74" s="6" t="s">
        <v>5</v>
      </c>
      <c r="D74" s="4" t="s">
        <v>269</v>
      </c>
      <c r="E74" s="14" t="s">
        <v>515</v>
      </c>
      <c r="F74" s="113">
        <v>410</v>
      </c>
      <c r="G74" s="297"/>
      <c r="H74" s="299"/>
      <c r="I74" s="299"/>
      <c r="J74" s="201">
        <v>0</v>
      </c>
      <c r="K74" s="201">
        <v>0</v>
      </c>
      <c r="L74" s="201">
        <f>6000+12395.6</f>
        <v>18395.6</v>
      </c>
      <c r="M74" s="201">
        <v>0</v>
      </c>
      <c r="BI74" s="33"/>
      <c r="BJ74" s="33"/>
    </row>
    <row r="75" spans="1:62" ht="39" customHeight="1">
      <c r="A75" s="276"/>
      <c r="B75" s="304" t="s">
        <v>510</v>
      </c>
      <c r="C75" s="6" t="s">
        <v>5</v>
      </c>
      <c r="D75" s="4" t="s">
        <v>269</v>
      </c>
      <c r="E75" s="276" t="s">
        <v>511</v>
      </c>
      <c r="F75" s="113">
        <v>240</v>
      </c>
      <c r="G75" s="297"/>
      <c r="H75" s="299"/>
      <c r="I75" s="299"/>
      <c r="J75" s="201">
        <f>2000+2000-514.78-587.5-72.72</f>
        <v>2825.0000000000005</v>
      </c>
      <c r="K75" s="201">
        <f>2000+2000-514.78-587.5-72.72</f>
        <v>2825.0000000000005</v>
      </c>
      <c r="L75" s="201">
        <f>2883.5+2883.5</f>
        <v>5767</v>
      </c>
      <c r="M75" s="201">
        <v>4400</v>
      </c>
      <c r="BI75" s="33"/>
      <c r="BJ75" s="33"/>
    </row>
    <row r="76" spans="1:62" ht="34.5" customHeight="1">
      <c r="A76" s="277"/>
      <c r="B76" s="306"/>
      <c r="C76" s="6" t="s">
        <v>5</v>
      </c>
      <c r="D76" s="4" t="s">
        <v>269</v>
      </c>
      <c r="E76" s="277"/>
      <c r="F76" s="113">
        <v>410</v>
      </c>
      <c r="G76" s="297"/>
      <c r="H76" s="299"/>
      <c r="I76" s="299"/>
      <c r="J76" s="201">
        <f>5500+5500-523.75-3891.309</f>
        <v>6584.941</v>
      </c>
      <c r="K76" s="201">
        <f>5500+5500-523.75-3891.309</f>
        <v>6584.941</v>
      </c>
      <c r="L76" s="201">
        <f>12900+272.4708</f>
        <v>13172.4708</v>
      </c>
      <c r="M76" s="201">
        <v>0</v>
      </c>
      <c r="BI76" s="33"/>
      <c r="BJ76" s="33"/>
    </row>
    <row r="77" spans="1:62" ht="30" customHeight="1">
      <c r="A77" s="113"/>
      <c r="B77" s="112" t="s">
        <v>273</v>
      </c>
      <c r="C77" s="6"/>
      <c r="D77" s="4"/>
      <c r="E77" s="113">
        <v>1130000000</v>
      </c>
      <c r="F77" s="113"/>
      <c r="G77" s="297"/>
      <c r="H77" s="299"/>
      <c r="I77" s="299"/>
      <c r="J77" s="201">
        <f>J79+J81+J78+J80</f>
        <v>21112.02323</v>
      </c>
      <c r="K77" s="201">
        <f>K79+K81+K78+K80</f>
        <v>21112.02323</v>
      </c>
      <c r="L77" s="201">
        <f>L79+L81+L78</f>
        <v>0</v>
      </c>
      <c r="M77" s="201">
        <f>M79+M81+M78</f>
        <v>0</v>
      </c>
      <c r="BI77" s="33"/>
      <c r="BJ77" s="33"/>
    </row>
    <row r="78" spans="1:62" ht="27" customHeight="1">
      <c r="A78" s="113"/>
      <c r="B78" s="304" t="s">
        <v>274</v>
      </c>
      <c r="C78" s="6" t="s">
        <v>5</v>
      </c>
      <c r="D78" s="4" t="s">
        <v>269</v>
      </c>
      <c r="E78" s="276">
        <v>1130100020</v>
      </c>
      <c r="F78" s="113">
        <v>240</v>
      </c>
      <c r="G78" s="297"/>
      <c r="H78" s="299"/>
      <c r="I78" s="299"/>
      <c r="J78" s="201">
        <f>309.6211-309.6211</f>
        <v>0</v>
      </c>
      <c r="K78" s="201">
        <f>309.6211-309.6211</f>
        <v>0</v>
      </c>
      <c r="L78" s="201">
        <v>0</v>
      </c>
      <c r="M78" s="201">
        <v>0</v>
      </c>
      <c r="BI78" s="33"/>
      <c r="BJ78" s="33"/>
    </row>
    <row r="79" spans="1:62" ht="27" customHeight="1">
      <c r="A79" s="170"/>
      <c r="B79" s="306"/>
      <c r="C79" s="6" t="s">
        <v>5</v>
      </c>
      <c r="D79" s="4" t="s">
        <v>269</v>
      </c>
      <c r="E79" s="277"/>
      <c r="F79" s="113">
        <v>410</v>
      </c>
      <c r="G79" s="298"/>
      <c r="H79" s="277"/>
      <c r="I79" s="277"/>
      <c r="J79" s="201">
        <f>221.8-221.795+99.97599+461.21544</f>
        <v>561.19643</v>
      </c>
      <c r="K79" s="201">
        <f>221.8-221.795+99.97599+461.21544</f>
        <v>561.19643</v>
      </c>
      <c r="L79" s="201">
        <v>0</v>
      </c>
      <c r="M79" s="201">
        <v>0</v>
      </c>
      <c r="BI79" s="33"/>
      <c r="BJ79" s="33"/>
    </row>
    <row r="80" spans="1:62" ht="60" customHeight="1">
      <c r="A80" s="251"/>
      <c r="B80" s="112" t="s">
        <v>992</v>
      </c>
      <c r="C80" s="6" t="s">
        <v>5</v>
      </c>
      <c r="D80" s="119" t="s">
        <v>269</v>
      </c>
      <c r="E80" s="113" t="s">
        <v>993</v>
      </c>
      <c r="F80" s="113">
        <v>810</v>
      </c>
      <c r="G80" s="296" t="s">
        <v>997</v>
      </c>
      <c r="H80" s="276" t="s">
        <v>827</v>
      </c>
      <c r="I80" s="276" t="s">
        <v>996</v>
      </c>
      <c r="J80" s="201">
        <f>80.445+9159.555</f>
        <v>9240</v>
      </c>
      <c r="K80" s="201">
        <f>80.445+9159.555</f>
        <v>9240</v>
      </c>
      <c r="L80" s="201">
        <v>0</v>
      </c>
      <c r="M80" s="201">
        <v>0</v>
      </c>
      <c r="BI80" s="33"/>
      <c r="BJ80" s="33"/>
    </row>
    <row r="81" spans="1:62" ht="121.5" customHeight="1">
      <c r="A81" s="197"/>
      <c r="B81" s="112" t="s">
        <v>995</v>
      </c>
      <c r="C81" s="6" t="s">
        <v>5</v>
      </c>
      <c r="D81" s="4" t="s">
        <v>269</v>
      </c>
      <c r="E81" s="113" t="s">
        <v>847</v>
      </c>
      <c r="F81" s="113">
        <v>410</v>
      </c>
      <c r="G81" s="298"/>
      <c r="H81" s="277"/>
      <c r="I81" s="277"/>
      <c r="J81" s="201">
        <f>11315.9-5.0732</f>
        <v>11310.826799999999</v>
      </c>
      <c r="K81" s="201">
        <f>11315.9-5.0732</f>
        <v>11310.826799999999</v>
      </c>
      <c r="L81" s="201">
        <v>0</v>
      </c>
      <c r="M81" s="201">
        <v>0</v>
      </c>
      <c r="BI81" s="33"/>
      <c r="BJ81" s="33"/>
    </row>
    <row r="82" spans="1:62" ht="51" customHeight="1">
      <c r="A82" s="192"/>
      <c r="B82" s="16" t="s">
        <v>790</v>
      </c>
      <c r="C82" s="6"/>
      <c r="D82" s="4"/>
      <c r="E82" s="113">
        <v>2100000000</v>
      </c>
      <c r="F82" s="113"/>
      <c r="G82" s="147"/>
      <c r="H82" s="113"/>
      <c r="I82" s="113"/>
      <c r="J82" s="201">
        <f>J83+J84</f>
        <v>4564.76143</v>
      </c>
      <c r="K82" s="201">
        <f>K83+K84</f>
        <v>4564.76143</v>
      </c>
      <c r="L82" s="201">
        <f>L83+L84</f>
        <v>0</v>
      </c>
      <c r="M82" s="201">
        <f>M83+M84</f>
        <v>0</v>
      </c>
      <c r="BI82" s="33"/>
      <c r="BJ82" s="33"/>
    </row>
    <row r="83" spans="1:62" ht="50.25" customHeight="1">
      <c r="A83" s="192"/>
      <c r="B83" s="112" t="s">
        <v>791</v>
      </c>
      <c r="C83" s="6" t="s">
        <v>5</v>
      </c>
      <c r="D83" s="4" t="s">
        <v>269</v>
      </c>
      <c r="E83" s="113">
        <v>2100000007</v>
      </c>
      <c r="F83" s="113">
        <v>240</v>
      </c>
      <c r="G83" s="147" t="s">
        <v>792</v>
      </c>
      <c r="H83" s="113" t="s">
        <v>51</v>
      </c>
      <c r="I83" s="113" t="s">
        <v>229</v>
      </c>
      <c r="J83" s="201">
        <v>0</v>
      </c>
      <c r="K83" s="201">
        <v>0</v>
      </c>
      <c r="L83" s="201">
        <v>0</v>
      </c>
      <c r="M83" s="201">
        <v>0</v>
      </c>
      <c r="BI83" s="33"/>
      <c r="BJ83" s="33"/>
    </row>
    <row r="84" spans="1:62" ht="184.5" customHeight="1">
      <c r="A84" s="197"/>
      <c r="B84" s="112" t="s">
        <v>848</v>
      </c>
      <c r="C84" s="6" t="s">
        <v>5</v>
      </c>
      <c r="D84" s="4" t="s">
        <v>269</v>
      </c>
      <c r="E84" s="113" t="s">
        <v>849</v>
      </c>
      <c r="F84" s="113">
        <v>410</v>
      </c>
      <c r="G84" s="147" t="s">
        <v>850</v>
      </c>
      <c r="H84" s="113" t="s">
        <v>851</v>
      </c>
      <c r="I84" s="113" t="s">
        <v>852</v>
      </c>
      <c r="J84" s="201">
        <v>4564.76143</v>
      </c>
      <c r="K84" s="201">
        <v>4564.76143</v>
      </c>
      <c r="L84" s="201">
        <v>0</v>
      </c>
      <c r="M84" s="201">
        <v>0</v>
      </c>
      <c r="BI84" s="33"/>
      <c r="BJ84" s="33"/>
    </row>
    <row r="85" spans="1:13" ht="165" customHeight="1">
      <c r="A85" s="90" t="s">
        <v>192</v>
      </c>
      <c r="B85" s="95" t="s">
        <v>191</v>
      </c>
      <c r="C85" s="96"/>
      <c r="D85" s="93"/>
      <c r="E85" s="93"/>
      <c r="F85" s="90"/>
      <c r="G85" s="97"/>
      <c r="H85" s="98"/>
      <c r="I85" s="98"/>
      <c r="J85" s="200">
        <f>J87+J90</f>
        <v>119963.35583000001</v>
      </c>
      <c r="K85" s="200">
        <f>K87+K90</f>
        <v>119963.35583000001</v>
      </c>
      <c r="L85" s="200">
        <f>L87+L90</f>
        <v>112308.9</v>
      </c>
      <c r="M85" s="200">
        <f>M87+M90</f>
        <v>113680.4</v>
      </c>
    </row>
    <row r="86" spans="1:13" ht="30" customHeight="1">
      <c r="A86" s="4"/>
      <c r="B86" s="15" t="s">
        <v>245</v>
      </c>
      <c r="C86" s="6"/>
      <c r="D86" s="4"/>
      <c r="E86" s="4" t="s">
        <v>77</v>
      </c>
      <c r="F86" s="4"/>
      <c r="G86" s="5"/>
      <c r="H86" s="7"/>
      <c r="I86" s="7"/>
      <c r="J86" s="201">
        <f>J87+J90</f>
        <v>119963.35583000001</v>
      </c>
      <c r="K86" s="201">
        <f>K87+K90</f>
        <v>119963.35583000001</v>
      </c>
      <c r="L86" s="201">
        <f>L87+L90</f>
        <v>112308.9</v>
      </c>
      <c r="M86" s="201">
        <f>M87+M90</f>
        <v>113680.4</v>
      </c>
    </row>
    <row r="87" spans="1:13" ht="45" customHeight="1">
      <c r="A87" s="4"/>
      <c r="B87" s="15" t="s">
        <v>244</v>
      </c>
      <c r="C87" s="6"/>
      <c r="D87" s="4"/>
      <c r="E87" s="4" t="s">
        <v>75</v>
      </c>
      <c r="F87" s="4"/>
      <c r="G87" s="58"/>
      <c r="H87" s="6"/>
      <c r="I87" s="7"/>
      <c r="J87" s="201">
        <f>J89+J88</f>
        <v>70087.36229</v>
      </c>
      <c r="K87" s="201">
        <f>K89+K88</f>
        <v>70087.36229</v>
      </c>
      <c r="L87" s="201">
        <f>L89+L88</f>
        <v>64877</v>
      </c>
      <c r="M87" s="201">
        <f>M89+M88</f>
        <v>64877</v>
      </c>
    </row>
    <row r="88" spans="1:13" ht="23.25" customHeight="1">
      <c r="A88" s="4"/>
      <c r="B88" s="60" t="s">
        <v>246</v>
      </c>
      <c r="C88" s="61" t="s">
        <v>5</v>
      </c>
      <c r="D88" s="4" t="s">
        <v>11</v>
      </c>
      <c r="E88" s="4" t="s">
        <v>916</v>
      </c>
      <c r="F88" s="4" t="s">
        <v>44</v>
      </c>
      <c r="G88" s="296" t="s">
        <v>733</v>
      </c>
      <c r="H88" s="276" t="s">
        <v>731</v>
      </c>
      <c r="I88" s="284" t="s">
        <v>732</v>
      </c>
      <c r="J88" s="201">
        <v>600</v>
      </c>
      <c r="K88" s="201">
        <v>600</v>
      </c>
      <c r="L88" s="201">
        <v>0</v>
      </c>
      <c r="M88" s="201">
        <v>0</v>
      </c>
    </row>
    <row r="89" spans="1:13" ht="87" customHeight="1">
      <c r="A89" s="56"/>
      <c r="B89" s="11" t="s">
        <v>915</v>
      </c>
      <c r="C89" s="61" t="s">
        <v>5</v>
      </c>
      <c r="D89" s="4" t="s">
        <v>11</v>
      </c>
      <c r="E89" s="4" t="s">
        <v>524</v>
      </c>
      <c r="F89" s="4" t="s">
        <v>44</v>
      </c>
      <c r="G89" s="298"/>
      <c r="H89" s="277"/>
      <c r="I89" s="288"/>
      <c r="J89" s="201">
        <f>6803.6+61231.7+335.284-0.044+943.44932+173.37297</f>
        <v>69487.36229</v>
      </c>
      <c r="K89" s="201">
        <f>6803.6+61231.7+335.284-0.044+943.44932+173.37297</f>
        <v>69487.36229</v>
      </c>
      <c r="L89" s="201">
        <f>6487.7+58389.3</f>
        <v>64877</v>
      </c>
      <c r="M89" s="201">
        <f>6487.7+58389.3</f>
        <v>64877</v>
      </c>
    </row>
    <row r="90" spans="1:13" ht="60" customHeight="1">
      <c r="A90" s="4"/>
      <c r="B90" s="15" t="s">
        <v>247</v>
      </c>
      <c r="C90" s="6"/>
      <c r="D90" s="4"/>
      <c r="E90" s="4" t="s">
        <v>76</v>
      </c>
      <c r="F90" s="4"/>
      <c r="G90" s="58"/>
      <c r="H90" s="7"/>
      <c r="I90" s="7"/>
      <c r="J90" s="201">
        <f>J91</f>
        <v>49875.99354000001</v>
      </c>
      <c r="K90" s="201">
        <f>K91</f>
        <v>49875.99354000001</v>
      </c>
      <c r="L90" s="201">
        <f>L91</f>
        <v>47431.9</v>
      </c>
      <c r="M90" s="201">
        <f>M91</f>
        <v>48803.4</v>
      </c>
    </row>
    <row r="91" spans="1:13" ht="106.5" customHeight="1">
      <c r="A91" s="4"/>
      <c r="B91" s="59" t="s">
        <v>58</v>
      </c>
      <c r="C91" s="61" t="s">
        <v>5</v>
      </c>
      <c r="D91" s="4" t="s">
        <v>11</v>
      </c>
      <c r="E91" s="4" t="s">
        <v>248</v>
      </c>
      <c r="F91" s="4" t="s">
        <v>44</v>
      </c>
      <c r="G91" s="13" t="s">
        <v>733</v>
      </c>
      <c r="H91" s="6" t="s">
        <v>731</v>
      </c>
      <c r="I91" s="7" t="s">
        <v>732</v>
      </c>
      <c r="J91" s="201">
        <f>45809.8+5964.83797-335.284-600-173.37297+300-1089.98746</f>
        <v>49875.99354000001</v>
      </c>
      <c r="K91" s="201">
        <f>45809.8+5964.83797-335.284-600-173.37297+300-1089.98746</f>
        <v>49875.99354000001</v>
      </c>
      <c r="L91" s="201">
        <v>47431.9</v>
      </c>
      <c r="M91" s="201">
        <v>48803.4</v>
      </c>
    </row>
    <row r="92" spans="1:13" ht="120" customHeight="1">
      <c r="A92" s="90" t="s">
        <v>258</v>
      </c>
      <c r="B92" s="100" t="s">
        <v>259</v>
      </c>
      <c r="C92" s="90"/>
      <c r="D92" s="90"/>
      <c r="E92" s="90"/>
      <c r="F92" s="90"/>
      <c r="G92" s="90"/>
      <c r="H92" s="90"/>
      <c r="I92" s="90"/>
      <c r="J92" s="200">
        <f>J96+J93+J106+J103</f>
        <v>36694.419350000004</v>
      </c>
      <c r="K92" s="200">
        <f>K96+K93+K106+K103</f>
        <v>36694.419350000004</v>
      </c>
      <c r="L92" s="200">
        <f>L96+L93+L106+L103</f>
        <v>60594.24289</v>
      </c>
      <c r="M92" s="200">
        <f>M96+M93+M106+M103</f>
        <v>213383.17604</v>
      </c>
    </row>
    <row r="93" spans="1:13" ht="30" customHeight="1">
      <c r="A93" s="4"/>
      <c r="B93" s="16" t="s">
        <v>311</v>
      </c>
      <c r="C93" s="4"/>
      <c r="D93" s="4"/>
      <c r="E93" s="4" t="s">
        <v>73</v>
      </c>
      <c r="F93" s="4"/>
      <c r="G93" s="4"/>
      <c r="H93" s="4"/>
      <c r="I93" s="4"/>
      <c r="J93" s="201">
        <f aca="true" t="shared" si="0" ref="J93:M94">J94</f>
        <v>7339.26821</v>
      </c>
      <c r="K93" s="201">
        <f t="shared" si="0"/>
        <v>7339.26821</v>
      </c>
      <c r="L93" s="201">
        <f t="shared" si="0"/>
        <v>12044.093</v>
      </c>
      <c r="M93" s="201">
        <f t="shared" si="0"/>
        <v>20200.741</v>
      </c>
    </row>
    <row r="94" spans="1:13" ht="30" customHeight="1">
      <c r="A94" s="4"/>
      <c r="B94" s="16" t="s">
        <v>312</v>
      </c>
      <c r="C94" s="4"/>
      <c r="D94" s="4"/>
      <c r="E94" s="4" t="s">
        <v>313</v>
      </c>
      <c r="F94" s="4"/>
      <c r="G94" s="4"/>
      <c r="H94" s="4"/>
      <c r="I94" s="4"/>
      <c r="J94" s="201">
        <f t="shared" si="0"/>
        <v>7339.26821</v>
      </c>
      <c r="K94" s="201">
        <f t="shared" si="0"/>
        <v>7339.26821</v>
      </c>
      <c r="L94" s="201">
        <f t="shared" si="0"/>
        <v>12044.093</v>
      </c>
      <c r="M94" s="201">
        <f t="shared" si="0"/>
        <v>20200.741</v>
      </c>
    </row>
    <row r="95" spans="1:13" ht="100.5" customHeight="1">
      <c r="A95" s="4"/>
      <c r="B95" s="16" t="s">
        <v>888</v>
      </c>
      <c r="C95" s="4" t="s">
        <v>867</v>
      </c>
      <c r="D95" s="4" t="s">
        <v>12</v>
      </c>
      <c r="E95" s="4" t="s">
        <v>887</v>
      </c>
      <c r="F95" s="4" t="s">
        <v>325</v>
      </c>
      <c r="G95" s="165" t="s">
        <v>734</v>
      </c>
      <c r="H95" s="4" t="s">
        <v>606</v>
      </c>
      <c r="I95" s="3" t="s">
        <v>229</v>
      </c>
      <c r="J95" s="201">
        <f>1500+6213.566-374.29779</f>
        <v>7339.26821</v>
      </c>
      <c r="K95" s="201">
        <f>1500+6213.566-374.29779</f>
        <v>7339.26821</v>
      </c>
      <c r="L95" s="201">
        <f>1500+10544.093</f>
        <v>12044.093</v>
      </c>
      <c r="M95" s="201">
        <f>1500+18700.741</f>
        <v>20200.741</v>
      </c>
    </row>
    <row r="96" spans="1:13" ht="45" customHeight="1">
      <c r="A96" s="4"/>
      <c r="B96" s="59" t="s">
        <v>260</v>
      </c>
      <c r="C96" s="61"/>
      <c r="D96" s="4"/>
      <c r="E96" s="4" t="s">
        <v>261</v>
      </c>
      <c r="F96" s="4"/>
      <c r="G96" s="13"/>
      <c r="H96" s="6"/>
      <c r="I96" s="7"/>
      <c r="J96" s="201">
        <f>J97+J100+J102+J98+J99+J101</f>
        <v>26088.51354</v>
      </c>
      <c r="K96" s="201">
        <f>K97+K100+K102+K98+K99+K101</f>
        <v>26088.51354</v>
      </c>
      <c r="L96" s="201">
        <f>L97+L100+L102+L98+L99+L101</f>
        <v>47494.35178</v>
      </c>
      <c r="M96" s="201">
        <f>M97+M100+M102+M98+M99+M101</f>
        <v>189019.9472</v>
      </c>
    </row>
    <row r="97" spans="1:13" ht="36.75" customHeight="1">
      <c r="A97" s="278"/>
      <c r="B97" s="307" t="s">
        <v>525</v>
      </c>
      <c r="C97" s="61" t="s">
        <v>5</v>
      </c>
      <c r="D97" s="4" t="s">
        <v>262</v>
      </c>
      <c r="E97" s="4" t="s">
        <v>263</v>
      </c>
      <c r="F97" s="4" t="s">
        <v>44</v>
      </c>
      <c r="G97" s="296" t="s">
        <v>789</v>
      </c>
      <c r="H97" s="276" t="s">
        <v>51</v>
      </c>
      <c r="I97" s="284" t="s">
        <v>229</v>
      </c>
      <c r="J97" s="201">
        <f>642.95-142-479.25</f>
        <v>21.700000000000045</v>
      </c>
      <c r="K97" s="201">
        <f>642.95-142-479.25</f>
        <v>21.700000000000045</v>
      </c>
      <c r="L97" s="201">
        <f>1246.3+496.19-219</f>
        <v>1523.49</v>
      </c>
      <c r="M97" s="201">
        <f>6236.75+511.27-980</f>
        <v>5768.02</v>
      </c>
    </row>
    <row r="98" spans="1:13" ht="36.75" customHeight="1">
      <c r="A98" s="279"/>
      <c r="B98" s="309"/>
      <c r="C98" s="61" t="s">
        <v>829</v>
      </c>
      <c r="D98" s="4" t="s">
        <v>262</v>
      </c>
      <c r="E98" s="4" t="s">
        <v>263</v>
      </c>
      <c r="F98" s="4" t="s">
        <v>44</v>
      </c>
      <c r="G98" s="298"/>
      <c r="H98" s="277"/>
      <c r="I98" s="288"/>
      <c r="J98" s="201">
        <f>142-70-32.88</f>
        <v>39.12</v>
      </c>
      <c r="K98" s="201">
        <f>142-70-32.88</f>
        <v>39.12</v>
      </c>
      <c r="L98" s="201">
        <v>219</v>
      </c>
      <c r="M98" s="208">
        <v>980</v>
      </c>
    </row>
    <row r="99" spans="1:13" ht="23.25" customHeight="1">
      <c r="A99" s="119"/>
      <c r="B99" s="307" t="s">
        <v>516</v>
      </c>
      <c r="C99" s="61" t="s">
        <v>829</v>
      </c>
      <c r="D99" s="4" t="s">
        <v>262</v>
      </c>
      <c r="E99" s="4" t="s">
        <v>517</v>
      </c>
      <c r="F99" s="4" t="s">
        <v>134</v>
      </c>
      <c r="G99" s="296" t="s">
        <v>899</v>
      </c>
      <c r="H99" s="276" t="s">
        <v>900</v>
      </c>
      <c r="I99" s="284" t="s">
        <v>901</v>
      </c>
      <c r="J99" s="201">
        <f>676.0625+911.73994+1201.73075-2080.5374</f>
        <v>708.9957899999999</v>
      </c>
      <c r="K99" s="201">
        <f>676.0625+911.73994+1201.73075-2080.5374</f>
        <v>708.9957899999999</v>
      </c>
      <c r="L99" s="204">
        <f>34577.64134+0.17578+847.05222</f>
        <v>35424.86934</v>
      </c>
      <c r="M99" s="206">
        <f>172775.82141+382.50943</f>
        <v>173158.33084</v>
      </c>
    </row>
    <row r="100" spans="1:13" ht="23.25" customHeight="1">
      <c r="A100" s="4"/>
      <c r="B100" s="309"/>
      <c r="C100" s="61" t="s">
        <v>829</v>
      </c>
      <c r="D100" s="4" t="s">
        <v>262</v>
      </c>
      <c r="E100" s="4" t="s">
        <v>517</v>
      </c>
      <c r="F100" s="4" t="s">
        <v>45</v>
      </c>
      <c r="G100" s="297"/>
      <c r="H100" s="299"/>
      <c r="I100" s="285"/>
      <c r="J100" s="204">
        <f>23529.05008-0.16859-847.05222-676.0625+9172.13901-1201.73075-6426.56993</f>
        <v>23549.6051</v>
      </c>
      <c r="K100" s="204">
        <f>23529.05008-0.16859-847.05222-676.0625+9172.13901-1201.73075-6426.56993</f>
        <v>23549.6051</v>
      </c>
      <c r="L100" s="204">
        <v>8507.10733</v>
      </c>
      <c r="M100" s="206">
        <v>0</v>
      </c>
    </row>
    <row r="101" spans="1:13" ht="23.25" customHeight="1">
      <c r="A101" s="4"/>
      <c r="B101" s="307" t="s">
        <v>519</v>
      </c>
      <c r="C101" s="61" t="s">
        <v>829</v>
      </c>
      <c r="D101" s="4" t="s">
        <v>262</v>
      </c>
      <c r="E101" s="4" t="s">
        <v>518</v>
      </c>
      <c r="F101" s="4" t="s">
        <v>134</v>
      </c>
      <c r="G101" s="297"/>
      <c r="H101" s="299"/>
      <c r="I101" s="285"/>
      <c r="J101" s="204">
        <v>0</v>
      </c>
      <c r="K101" s="204">
        <v>0</v>
      </c>
      <c r="L101" s="204">
        <f>1819.87586+0.00925</f>
        <v>1819.8851100000002</v>
      </c>
      <c r="M101" s="206">
        <f>9093.46428+20.13208</f>
        <v>9113.59636</v>
      </c>
    </row>
    <row r="102" spans="1:13" ht="25.5" customHeight="1">
      <c r="A102" s="4"/>
      <c r="B102" s="309"/>
      <c r="C102" s="61" t="s">
        <v>829</v>
      </c>
      <c r="D102" s="4" t="s">
        <v>262</v>
      </c>
      <c r="E102" s="4" t="s">
        <v>518</v>
      </c>
      <c r="F102" s="4" t="s">
        <v>45</v>
      </c>
      <c r="G102" s="298"/>
      <c r="H102" s="277"/>
      <c r="I102" s="288"/>
      <c r="J102" s="204">
        <f>1769.10157-0.00892-63.24899+63.24899</f>
        <v>1769.09265</v>
      </c>
      <c r="K102" s="204">
        <f>1769.10157-0.00892-63.24899+63.24899</f>
        <v>1769.09265</v>
      </c>
      <c r="L102" s="204">
        <v>0</v>
      </c>
      <c r="M102" s="206">
        <v>0</v>
      </c>
    </row>
    <row r="103" spans="1:13" ht="37.5" customHeight="1">
      <c r="A103" s="4"/>
      <c r="B103" s="59" t="s">
        <v>960</v>
      </c>
      <c r="C103" s="61"/>
      <c r="D103" s="4"/>
      <c r="E103" s="4" t="s">
        <v>961</v>
      </c>
      <c r="F103" s="4"/>
      <c r="G103" s="147"/>
      <c r="H103" s="113"/>
      <c r="I103" s="148"/>
      <c r="J103" s="204">
        <f aca="true" t="shared" si="1" ref="J103:M104">J104</f>
        <v>3230.3376</v>
      </c>
      <c r="K103" s="204">
        <f t="shared" si="1"/>
        <v>3230.3376</v>
      </c>
      <c r="L103" s="204">
        <f t="shared" si="1"/>
        <v>502.3981100000001</v>
      </c>
      <c r="M103" s="204">
        <f t="shared" si="1"/>
        <v>4162.48784</v>
      </c>
    </row>
    <row r="104" spans="1:13" ht="51" customHeight="1">
      <c r="A104" s="4"/>
      <c r="B104" s="59" t="s">
        <v>962</v>
      </c>
      <c r="C104" s="61"/>
      <c r="D104" s="4"/>
      <c r="E104" s="4" t="s">
        <v>963</v>
      </c>
      <c r="F104" s="4"/>
      <c r="G104" s="147"/>
      <c r="H104" s="113"/>
      <c r="I104" s="148"/>
      <c r="J104" s="204">
        <f t="shared" si="1"/>
        <v>3230.3376</v>
      </c>
      <c r="K104" s="204">
        <f t="shared" si="1"/>
        <v>3230.3376</v>
      </c>
      <c r="L104" s="204">
        <f t="shared" si="1"/>
        <v>502.3981100000001</v>
      </c>
      <c r="M104" s="204">
        <f t="shared" si="1"/>
        <v>4162.48784</v>
      </c>
    </row>
    <row r="105" spans="1:13" ht="45" customHeight="1">
      <c r="A105" s="4"/>
      <c r="B105" s="59" t="s">
        <v>536</v>
      </c>
      <c r="C105" s="61" t="s">
        <v>5</v>
      </c>
      <c r="D105" s="4" t="s">
        <v>12</v>
      </c>
      <c r="E105" s="4" t="s">
        <v>964</v>
      </c>
      <c r="F105" s="4" t="s">
        <v>325</v>
      </c>
      <c r="G105" s="13" t="s">
        <v>735</v>
      </c>
      <c r="H105" s="113" t="s">
        <v>582</v>
      </c>
      <c r="I105" s="120" t="s">
        <v>736</v>
      </c>
      <c r="J105" s="204">
        <f>266.72512+2963.61248</f>
        <v>3230.3376</v>
      </c>
      <c r="K105" s="204">
        <f>266.72512+2963.61248</f>
        <v>3230.3376</v>
      </c>
      <c r="L105" s="204">
        <f>2049.8+0.03562+184.48521-1731.92272</f>
        <v>502.3981100000001</v>
      </c>
      <c r="M105" s="206">
        <f>320.19137+3842.29647</f>
        <v>4162.48784</v>
      </c>
    </row>
    <row r="106" spans="1:13" ht="45" customHeight="1">
      <c r="A106" s="4"/>
      <c r="B106" s="59" t="s">
        <v>697</v>
      </c>
      <c r="C106" s="61"/>
      <c r="D106" s="4"/>
      <c r="E106" s="4" t="s">
        <v>78</v>
      </c>
      <c r="F106" s="4"/>
      <c r="G106" s="147"/>
      <c r="H106" s="113"/>
      <c r="I106" s="148"/>
      <c r="J106" s="204">
        <f>J108+J107</f>
        <v>36.3</v>
      </c>
      <c r="K106" s="204">
        <f>K108+K107</f>
        <v>36.3</v>
      </c>
      <c r="L106" s="204">
        <f>L108+L107</f>
        <v>553.4</v>
      </c>
      <c r="M106" s="204">
        <f>M108+M107</f>
        <v>0</v>
      </c>
    </row>
    <row r="107" spans="1:13" ht="51.75" customHeight="1">
      <c r="A107" s="4"/>
      <c r="B107" s="59" t="s">
        <v>787</v>
      </c>
      <c r="C107" s="61" t="s">
        <v>5</v>
      </c>
      <c r="D107" s="4" t="s">
        <v>262</v>
      </c>
      <c r="E107" s="4" t="s">
        <v>788</v>
      </c>
      <c r="F107" s="4" t="s">
        <v>44</v>
      </c>
      <c r="G107" s="147" t="s">
        <v>789</v>
      </c>
      <c r="H107" s="113" t="s">
        <v>51</v>
      </c>
      <c r="I107" s="194" t="s">
        <v>229</v>
      </c>
      <c r="J107" s="204">
        <v>36.3</v>
      </c>
      <c r="K107" s="205">
        <v>36.3</v>
      </c>
      <c r="L107" s="204">
        <v>0</v>
      </c>
      <c r="M107" s="206">
        <v>0</v>
      </c>
    </row>
    <row r="108" spans="1:13" ht="75" customHeight="1">
      <c r="A108" s="4"/>
      <c r="B108" s="59" t="s">
        <v>537</v>
      </c>
      <c r="C108" s="61" t="s">
        <v>5</v>
      </c>
      <c r="D108" s="4" t="s">
        <v>12</v>
      </c>
      <c r="E108" s="4" t="s">
        <v>538</v>
      </c>
      <c r="F108" s="4" t="s">
        <v>325</v>
      </c>
      <c r="G108" s="147" t="s">
        <v>581</v>
      </c>
      <c r="H108" s="113" t="s">
        <v>582</v>
      </c>
      <c r="I108" s="169" t="s">
        <v>583</v>
      </c>
      <c r="J108" s="204">
        <v>0</v>
      </c>
      <c r="K108" s="205">
        <v>0</v>
      </c>
      <c r="L108" s="204">
        <v>553.4</v>
      </c>
      <c r="M108" s="206">
        <v>0</v>
      </c>
    </row>
    <row r="109" spans="1:13" ht="60" customHeight="1">
      <c r="A109" s="90" t="s">
        <v>194</v>
      </c>
      <c r="B109" s="95" t="s">
        <v>193</v>
      </c>
      <c r="C109" s="96"/>
      <c r="D109" s="90"/>
      <c r="E109" s="90"/>
      <c r="F109" s="90"/>
      <c r="G109" s="97"/>
      <c r="H109" s="98"/>
      <c r="I109" s="98"/>
      <c r="J109" s="200">
        <f aca="true" t="shared" si="2" ref="J109:M110">J110</f>
        <v>12154.27419</v>
      </c>
      <c r="K109" s="200">
        <f t="shared" si="2"/>
        <v>12154.27419</v>
      </c>
      <c r="L109" s="200">
        <f t="shared" si="2"/>
        <v>11519.5</v>
      </c>
      <c r="M109" s="200">
        <f t="shared" si="2"/>
        <v>11519.5</v>
      </c>
    </row>
    <row r="110" spans="1:60" s="62" customFormat="1" ht="30" customHeight="1">
      <c r="A110" s="4"/>
      <c r="B110" s="15" t="s">
        <v>245</v>
      </c>
      <c r="C110" s="6"/>
      <c r="D110" s="4"/>
      <c r="E110" s="4" t="s">
        <v>77</v>
      </c>
      <c r="F110" s="4"/>
      <c r="G110" s="5"/>
      <c r="H110" s="4"/>
      <c r="I110" s="4"/>
      <c r="J110" s="201">
        <f>J111</f>
        <v>12154.27419</v>
      </c>
      <c r="K110" s="201">
        <f t="shared" si="2"/>
        <v>12154.27419</v>
      </c>
      <c r="L110" s="201">
        <f t="shared" si="2"/>
        <v>11519.5</v>
      </c>
      <c r="M110" s="201">
        <f t="shared" si="2"/>
        <v>11519.5</v>
      </c>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3"/>
    </row>
    <row r="111" spans="1:60" s="62" customFormat="1" ht="30" customHeight="1">
      <c r="A111" s="69"/>
      <c r="B111" s="59" t="s">
        <v>249</v>
      </c>
      <c r="C111" s="85"/>
      <c r="D111" s="86"/>
      <c r="E111" s="4" t="s">
        <v>98</v>
      </c>
      <c r="F111" s="85"/>
      <c r="G111" s="13"/>
      <c r="H111" s="6"/>
      <c r="I111" s="7"/>
      <c r="J111" s="201">
        <f>J112+J113</f>
        <v>12154.27419</v>
      </c>
      <c r="K111" s="201">
        <f>K112+K113</f>
        <v>12154.27419</v>
      </c>
      <c r="L111" s="201">
        <f>L112+L113</f>
        <v>11519.5</v>
      </c>
      <c r="M111" s="201">
        <f>M112+M113</f>
        <v>11519.5</v>
      </c>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3"/>
    </row>
    <row r="112" spans="1:60" s="62" customFormat="1" ht="108.75" customHeight="1">
      <c r="A112" s="69"/>
      <c r="B112" s="59" t="s">
        <v>250</v>
      </c>
      <c r="C112" s="61" t="s">
        <v>5</v>
      </c>
      <c r="D112" s="56" t="s">
        <v>53</v>
      </c>
      <c r="E112" s="56" t="s">
        <v>251</v>
      </c>
      <c r="F112" s="56" t="s">
        <v>44</v>
      </c>
      <c r="G112" s="296" t="s">
        <v>521</v>
      </c>
      <c r="H112" s="276" t="s">
        <v>414</v>
      </c>
      <c r="I112" s="284" t="s">
        <v>415</v>
      </c>
      <c r="J112" s="201">
        <f>11499.5+678.51479-43.7356</f>
        <v>12134.27919</v>
      </c>
      <c r="K112" s="201">
        <f>11499.5+678.51479-43.7356</f>
        <v>12134.27919</v>
      </c>
      <c r="L112" s="201">
        <v>11499.5</v>
      </c>
      <c r="M112" s="201">
        <v>11499.5</v>
      </c>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3"/>
    </row>
    <row r="113" spans="1:60" s="62" customFormat="1" ht="30" customHeight="1">
      <c r="A113" s="69"/>
      <c r="B113" s="11" t="s">
        <v>113</v>
      </c>
      <c r="C113" s="61" t="s">
        <v>5</v>
      </c>
      <c r="D113" s="56" t="s">
        <v>53</v>
      </c>
      <c r="E113" s="56" t="s">
        <v>252</v>
      </c>
      <c r="F113" s="56" t="s">
        <v>44</v>
      </c>
      <c r="G113" s="298"/>
      <c r="H113" s="277"/>
      <c r="I113" s="288"/>
      <c r="J113" s="201">
        <f>20-0.005</f>
        <v>19.995</v>
      </c>
      <c r="K113" s="201">
        <f>20-0.005</f>
        <v>19.995</v>
      </c>
      <c r="L113" s="201">
        <v>20</v>
      </c>
      <c r="M113" s="201">
        <v>20</v>
      </c>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3"/>
    </row>
    <row r="114" spans="1:60" s="62" customFormat="1" ht="60" customHeight="1">
      <c r="A114" s="90" t="s">
        <v>370</v>
      </c>
      <c r="B114" s="130" t="s">
        <v>371</v>
      </c>
      <c r="C114" s="96"/>
      <c r="D114" s="90"/>
      <c r="E114" s="90"/>
      <c r="F114" s="90"/>
      <c r="G114" s="115"/>
      <c r="H114" s="96"/>
      <c r="I114" s="98"/>
      <c r="J114" s="200">
        <f aca="true" t="shared" si="3" ref="J114:M116">J115</f>
        <v>36</v>
      </c>
      <c r="K114" s="200">
        <f t="shared" si="3"/>
        <v>36</v>
      </c>
      <c r="L114" s="200">
        <f t="shared" si="3"/>
        <v>55</v>
      </c>
      <c r="M114" s="200">
        <f t="shared" si="3"/>
        <v>55</v>
      </c>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3"/>
    </row>
    <row r="115" spans="1:60" s="62" customFormat="1" ht="45" customHeight="1">
      <c r="A115" s="69"/>
      <c r="B115" s="11" t="s">
        <v>293</v>
      </c>
      <c r="C115" s="61"/>
      <c r="D115" s="56"/>
      <c r="E115" s="4" t="s">
        <v>64</v>
      </c>
      <c r="F115" s="56"/>
      <c r="G115" s="13"/>
      <c r="H115" s="6"/>
      <c r="I115" s="7"/>
      <c r="J115" s="201">
        <f t="shared" si="3"/>
        <v>36</v>
      </c>
      <c r="K115" s="201">
        <f t="shared" si="3"/>
        <v>36</v>
      </c>
      <c r="L115" s="201">
        <f t="shared" si="3"/>
        <v>55</v>
      </c>
      <c r="M115" s="201">
        <f t="shared" si="3"/>
        <v>55</v>
      </c>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3"/>
    </row>
    <row r="116" spans="1:60" s="62" customFormat="1" ht="75" customHeight="1">
      <c r="A116" s="69"/>
      <c r="B116" s="11" t="s">
        <v>152</v>
      </c>
      <c r="C116" s="61"/>
      <c r="D116" s="56"/>
      <c r="E116" s="4" t="s">
        <v>63</v>
      </c>
      <c r="F116" s="56"/>
      <c r="G116" s="13"/>
      <c r="H116" s="6"/>
      <c r="I116" s="7"/>
      <c r="J116" s="201">
        <f t="shared" si="3"/>
        <v>36</v>
      </c>
      <c r="K116" s="201">
        <f t="shared" si="3"/>
        <v>36</v>
      </c>
      <c r="L116" s="201">
        <f t="shared" si="3"/>
        <v>55</v>
      </c>
      <c r="M116" s="201">
        <f t="shared" si="3"/>
        <v>55</v>
      </c>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3"/>
    </row>
    <row r="117" spans="1:60" s="62" customFormat="1" ht="72" customHeight="1">
      <c r="A117" s="69"/>
      <c r="B117" s="11" t="s">
        <v>154</v>
      </c>
      <c r="C117" s="34" t="s">
        <v>863</v>
      </c>
      <c r="D117" s="56" t="s">
        <v>118</v>
      </c>
      <c r="E117" s="4" t="s">
        <v>155</v>
      </c>
      <c r="F117" s="56" t="s">
        <v>44</v>
      </c>
      <c r="G117" s="13" t="s">
        <v>432</v>
      </c>
      <c r="H117" s="6" t="s">
        <v>51</v>
      </c>
      <c r="I117" s="7" t="s">
        <v>229</v>
      </c>
      <c r="J117" s="201">
        <f>55-19</f>
        <v>36</v>
      </c>
      <c r="K117" s="201">
        <f>55-19</f>
        <v>36</v>
      </c>
      <c r="L117" s="201">
        <v>55</v>
      </c>
      <c r="M117" s="201">
        <v>55</v>
      </c>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3"/>
    </row>
    <row r="118" spans="1:60" s="62" customFormat="1" ht="120" customHeight="1">
      <c r="A118" s="90" t="s">
        <v>257</v>
      </c>
      <c r="B118" s="130" t="s">
        <v>362</v>
      </c>
      <c r="C118" s="96"/>
      <c r="D118" s="90"/>
      <c r="E118" s="90"/>
      <c r="F118" s="90"/>
      <c r="G118" s="115"/>
      <c r="H118" s="96"/>
      <c r="I118" s="98"/>
      <c r="J118" s="200">
        <f>J119</f>
        <v>60</v>
      </c>
      <c r="K118" s="200">
        <f>K119</f>
        <v>60</v>
      </c>
      <c r="L118" s="200">
        <f>L119</f>
        <v>70</v>
      </c>
      <c r="M118" s="200">
        <f>M119</f>
        <v>70</v>
      </c>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3"/>
    </row>
    <row r="119" spans="1:60" s="62" customFormat="1" ht="45" customHeight="1">
      <c r="A119" s="69"/>
      <c r="B119" s="11" t="s">
        <v>140</v>
      </c>
      <c r="C119" s="61"/>
      <c r="D119" s="56"/>
      <c r="E119" s="56"/>
      <c r="F119" s="56"/>
      <c r="G119" s="13"/>
      <c r="H119" s="6"/>
      <c r="I119" s="7"/>
      <c r="J119" s="201">
        <f>J120+J121+J122+J123</f>
        <v>60</v>
      </c>
      <c r="K119" s="201">
        <f>K120+K121+K122+K123</f>
        <v>60</v>
      </c>
      <c r="L119" s="201">
        <f>L120+L121+L122+L123</f>
        <v>70</v>
      </c>
      <c r="M119" s="201">
        <f>M120+M121+M122+M123</f>
        <v>70</v>
      </c>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3"/>
    </row>
    <row r="120" spans="1:60" s="62" customFormat="1" ht="30" customHeight="1">
      <c r="A120" s="69"/>
      <c r="B120" s="11" t="s">
        <v>142</v>
      </c>
      <c r="C120" s="34" t="s">
        <v>863</v>
      </c>
      <c r="D120" s="4" t="s">
        <v>10</v>
      </c>
      <c r="E120" s="104" t="s">
        <v>141</v>
      </c>
      <c r="F120" s="4" t="s">
        <v>44</v>
      </c>
      <c r="G120" s="293" t="s">
        <v>592</v>
      </c>
      <c r="H120" s="364" t="s">
        <v>104</v>
      </c>
      <c r="I120" s="364" t="s">
        <v>229</v>
      </c>
      <c r="J120" s="201">
        <v>25</v>
      </c>
      <c r="K120" s="201">
        <v>25</v>
      </c>
      <c r="L120" s="201">
        <v>25</v>
      </c>
      <c r="M120" s="201">
        <v>25</v>
      </c>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3"/>
    </row>
    <row r="121" spans="1:60" s="62" customFormat="1" ht="75" customHeight="1">
      <c r="A121" s="69"/>
      <c r="B121" s="11" t="s">
        <v>143</v>
      </c>
      <c r="C121" s="34" t="s">
        <v>863</v>
      </c>
      <c r="D121" s="4" t="s">
        <v>10</v>
      </c>
      <c r="E121" s="104" t="s">
        <v>144</v>
      </c>
      <c r="F121" s="4" t="s">
        <v>44</v>
      </c>
      <c r="G121" s="324"/>
      <c r="H121" s="365"/>
      <c r="I121" s="365"/>
      <c r="J121" s="201">
        <f>30+5</f>
        <v>35</v>
      </c>
      <c r="K121" s="201">
        <f>30+5</f>
        <v>35</v>
      </c>
      <c r="L121" s="201">
        <f>20+5</f>
        <v>25</v>
      </c>
      <c r="M121" s="201">
        <f>20+5</f>
        <v>25</v>
      </c>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3"/>
    </row>
    <row r="122" spans="1:60" s="62" customFormat="1" ht="45" customHeight="1">
      <c r="A122" s="3"/>
      <c r="B122" s="11" t="s">
        <v>146</v>
      </c>
      <c r="C122" s="34" t="s">
        <v>863</v>
      </c>
      <c r="D122" s="4" t="s">
        <v>10</v>
      </c>
      <c r="E122" s="4" t="s">
        <v>145</v>
      </c>
      <c r="F122" s="4" t="s">
        <v>44</v>
      </c>
      <c r="G122" s="324"/>
      <c r="H122" s="365"/>
      <c r="I122" s="365"/>
      <c r="J122" s="201">
        <v>0</v>
      </c>
      <c r="K122" s="201">
        <v>0</v>
      </c>
      <c r="L122" s="201">
        <v>10</v>
      </c>
      <c r="M122" s="201">
        <v>10</v>
      </c>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3"/>
    </row>
    <row r="123" spans="1:60" s="62" customFormat="1" ht="45" customHeight="1">
      <c r="A123" s="69"/>
      <c r="B123" s="59" t="s">
        <v>147</v>
      </c>
      <c r="C123" s="34" t="s">
        <v>863</v>
      </c>
      <c r="D123" s="4" t="s">
        <v>10</v>
      </c>
      <c r="E123" s="4" t="s">
        <v>148</v>
      </c>
      <c r="F123" s="4" t="s">
        <v>44</v>
      </c>
      <c r="G123" s="325"/>
      <c r="H123" s="366"/>
      <c r="I123" s="366"/>
      <c r="J123" s="201">
        <v>0</v>
      </c>
      <c r="K123" s="201">
        <v>0</v>
      </c>
      <c r="L123" s="201">
        <v>10</v>
      </c>
      <c r="M123" s="201">
        <v>10</v>
      </c>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3"/>
    </row>
    <row r="124" spans="1:13" ht="40.5" customHeight="1">
      <c r="A124" s="90" t="s">
        <v>196</v>
      </c>
      <c r="B124" s="92" t="s">
        <v>195</v>
      </c>
      <c r="C124" s="99"/>
      <c r="D124" s="93"/>
      <c r="E124" s="93"/>
      <c r="F124" s="90"/>
      <c r="G124" s="94"/>
      <c r="H124" s="90"/>
      <c r="I124" s="90"/>
      <c r="J124" s="200">
        <f aca="true" t="shared" si="4" ref="J124:M125">J125</f>
        <v>149.85099999999983</v>
      </c>
      <c r="K124" s="200">
        <f t="shared" si="4"/>
        <v>149.85099999999983</v>
      </c>
      <c r="L124" s="200">
        <f t="shared" si="4"/>
        <v>245.69999999999982</v>
      </c>
      <c r="M124" s="200">
        <f t="shared" si="4"/>
        <v>245.69999999999982</v>
      </c>
    </row>
    <row r="125" spans="1:13" ht="45" customHeight="1">
      <c r="A125" s="4"/>
      <c r="B125" s="16" t="s">
        <v>151</v>
      </c>
      <c r="C125" s="4"/>
      <c r="D125" s="4"/>
      <c r="E125" s="4" t="s">
        <v>64</v>
      </c>
      <c r="F125" s="4"/>
      <c r="G125" s="32"/>
      <c r="H125" s="4"/>
      <c r="I125" s="4"/>
      <c r="J125" s="201">
        <f t="shared" si="4"/>
        <v>149.85099999999983</v>
      </c>
      <c r="K125" s="201">
        <f t="shared" si="4"/>
        <v>149.85099999999983</v>
      </c>
      <c r="L125" s="201">
        <f t="shared" si="4"/>
        <v>245.69999999999982</v>
      </c>
      <c r="M125" s="201">
        <f t="shared" si="4"/>
        <v>245.69999999999982</v>
      </c>
    </row>
    <row r="126" spans="1:13" ht="75" customHeight="1">
      <c r="A126" s="4"/>
      <c r="B126" s="16" t="s">
        <v>152</v>
      </c>
      <c r="C126" s="4"/>
      <c r="D126" s="4"/>
      <c r="E126" s="4" t="s">
        <v>63</v>
      </c>
      <c r="F126" s="4"/>
      <c r="G126" s="32"/>
      <c r="H126" s="4"/>
      <c r="I126" s="4"/>
      <c r="J126" s="201">
        <f>J127+J128</f>
        <v>149.85099999999983</v>
      </c>
      <c r="K126" s="201">
        <f>K127+K128</f>
        <v>149.85099999999983</v>
      </c>
      <c r="L126" s="201">
        <f>L127+L128</f>
        <v>245.69999999999982</v>
      </c>
      <c r="M126" s="201">
        <f>M127+M128</f>
        <v>245.69999999999982</v>
      </c>
    </row>
    <row r="127" spans="1:61" s="68" customFormat="1" ht="66" customHeight="1">
      <c r="A127" s="278"/>
      <c r="B127" s="304" t="s">
        <v>59</v>
      </c>
      <c r="C127" s="34" t="s">
        <v>863</v>
      </c>
      <c r="D127" s="4" t="s">
        <v>118</v>
      </c>
      <c r="E127" s="4" t="s">
        <v>153</v>
      </c>
      <c r="F127" s="4" t="s">
        <v>230</v>
      </c>
      <c r="G127" s="296" t="s">
        <v>978</v>
      </c>
      <c r="H127" s="278" t="s">
        <v>979</v>
      </c>
      <c r="I127" s="278" t="s">
        <v>977</v>
      </c>
      <c r="J127" s="203">
        <v>0</v>
      </c>
      <c r="K127" s="201">
        <v>0</v>
      </c>
      <c r="L127" s="203">
        <v>75.5</v>
      </c>
      <c r="M127" s="203">
        <v>75.5</v>
      </c>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75"/>
    </row>
    <row r="128" spans="1:61" s="68" customFormat="1" ht="60" customHeight="1">
      <c r="A128" s="279"/>
      <c r="B128" s="306"/>
      <c r="C128" s="34" t="s">
        <v>863</v>
      </c>
      <c r="D128" s="4" t="s">
        <v>118</v>
      </c>
      <c r="E128" s="4" t="s">
        <v>153</v>
      </c>
      <c r="F128" s="4" t="s">
        <v>44</v>
      </c>
      <c r="G128" s="298"/>
      <c r="H128" s="279"/>
      <c r="I128" s="279"/>
      <c r="J128" s="203">
        <f>4041.1-3795.4-75.5-20.349</f>
        <v>149.85099999999983</v>
      </c>
      <c r="K128" s="201">
        <f>4041.1-3795.4-75.5-20.349</f>
        <v>149.85099999999983</v>
      </c>
      <c r="L128" s="203">
        <f>4041.1-3795.4-75.5</f>
        <v>170.19999999999982</v>
      </c>
      <c r="M128" s="203">
        <f>4041.1-3795.4-75.5</f>
        <v>170.19999999999982</v>
      </c>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75"/>
    </row>
    <row r="129" spans="1:61" s="68" customFormat="1" ht="30" customHeight="1">
      <c r="A129" s="90" t="s">
        <v>363</v>
      </c>
      <c r="B129" s="95" t="s">
        <v>364</v>
      </c>
      <c r="C129" s="94"/>
      <c r="D129" s="90"/>
      <c r="E129" s="90"/>
      <c r="F129" s="90"/>
      <c r="G129" s="115"/>
      <c r="H129" s="90"/>
      <c r="I129" s="90"/>
      <c r="J129" s="200">
        <f aca="true" t="shared" si="5" ref="J129:M130">J130</f>
        <v>11004.89217</v>
      </c>
      <c r="K129" s="200">
        <f t="shared" si="5"/>
        <v>10969.6</v>
      </c>
      <c r="L129" s="200">
        <f t="shared" si="5"/>
        <v>10745.6</v>
      </c>
      <c r="M129" s="200">
        <f t="shared" si="5"/>
        <v>10745.6</v>
      </c>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75"/>
    </row>
    <row r="130" spans="1:61" s="68" customFormat="1" ht="45" customHeight="1">
      <c r="A130" s="4"/>
      <c r="B130" s="11" t="s">
        <v>293</v>
      </c>
      <c r="C130" s="34"/>
      <c r="D130" s="4"/>
      <c r="E130" s="4" t="s">
        <v>64</v>
      </c>
      <c r="F130" s="4"/>
      <c r="G130" s="13"/>
      <c r="H130" s="4"/>
      <c r="I130" s="4"/>
      <c r="J130" s="201">
        <f t="shared" si="5"/>
        <v>11004.89217</v>
      </c>
      <c r="K130" s="201">
        <f t="shared" si="5"/>
        <v>10969.6</v>
      </c>
      <c r="L130" s="201">
        <f t="shared" si="5"/>
        <v>10745.6</v>
      </c>
      <c r="M130" s="201">
        <f t="shared" si="5"/>
        <v>10745.6</v>
      </c>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75"/>
    </row>
    <row r="131" spans="1:61" s="68" customFormat="1" ht="75" customHeight="1">
      <c r="A131" s="4"/>
      <c r="B131" s="11" t="s">
        <v>152</v>
      </c>
      <c r="C131" s="34"/>
      <c r="D131" s="4"/>
      <c r="E131" s="4" t="s">
        <v>63</v>
      </c>
      <c r="F131" s="4"/>
      <c r="G131" s="13"/>
      <c r="H131" s="4"/>
      <c r="I131" s="4"/>
      <c r="J131" s="201">
        <f>J132+J133+J134</f>
        <v>11004.89217</v>
      </c>
      <c r="K131" s="201">
        <f>K132+K133+K134</f>
        <v>10969.6</v>
      </c>
      <c r="L131" s="201">
        <f>L132+L133+L134</f>
        <v>10745.6</v>
      </c>
      <c r="M131" s="201">
        <f>M132+M133+M134</f>
        <v>10745.6</v>
      </c>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75"/>
    </row>
    <row r="132" spans="1:61" s="68" customFormat="1" ht="27.75" customHeight="1">
      <c r="A132" s="278"/>
      <c r="B132" s="304" t="s">
        <v>589</v>
      </c>
      <c r="C132" s="34" t="s">
        <v>863</v>
      </c>
      <c r="D132" s="4" t="s">
        <v>118</v>
      </c>
      <c r="E132" s="4" t="s">
        <v>365</v>
      </c>
      <c r="F132" s="4" t="s">
        <v>230</v>
      </c>
      <c r="G132" s="296" t="s">
        <v>603</v>
      </c>
      <c r="H132" s="278" t="s">
        <v>51</v>
      </c>
      <c r="I132" s="278" t="s">
        <v>229</v>
      </c>
      <c r="J132" s="203">
        <v>8889.82988</v>
      </c>
      <c r="K132" s="203">
        <f>8826.68188+28.31395-0.45812</f>
        <v>8854.53771</v>
      </c>
      <c r="L132" s="203">
        <f>575+2741.7+4834.2+877.7</f>
        <v>9028.6</v>
      </c>
      <c r="M132" s="203">
        <f>575+2741.7+4834.2+877.7</f>
        <v>9028.6</v>
      </c>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75"/>
    </row>
    <row r="133" spans="1:61" s="68" customFormat="1" ht="27.75" customHeight="1">
      <c r="A133" s="287"/>
      <c r="B133" s="305"/>
      <c r="C133" s="34" t="s">
        <v>863</v>
      </c>
      <c r="D133" s="4" t="s">
        <v>118</v>
      </c>
      <c r="E133" s="4" t="s">
        <v>365</v>
      </c>
      <c r="F133" s="4" t="s">
        <v>44</v>
      </c>
      <c r="G133" s="297"/>
      <c r="H133" s="287"/>
      <c r="I133" s="287"/>
      <c r="J133" s="203">
        <f>2001.89912-32.25695+50.94112</f>
        <v>2020.58329</v>
      </c>
      <c r="K133" s="203">
        <f>2001.89912-32.25695+50.94112</f>
        <v>2020.58329</v>
      </c>
      <c r="L133" s="203">
        <f>3795.4-575-2741.7+961.2+277.1</f>
        <v>1717.0000000000005</v>
      </c>
      <c r="M133" s="203">
        <f>3795.4-575-2741.7+961.2+277.1</f>
        <v>1717.0000000000005</v>
      </c>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75"/>
    </row>
    <row r="134" spans="1:61" s="68" customFormat="1" ht="27.75" customHeight="1">
      <c r="A134" s="279"/>
      <c r="B134" s="306"/>
      <c r="C134" s="34" t="s">
        <v>863</v>
      </c>
      <c r="D134" s="4" t="s">
        <v>118</v>
      </c>
      <c r="E134" s="4" t="s">
        <v>365</v>
      </c>
      <c r="F134" s="4" t="s">
        <v>45</v>
      </c>
      <c r="G134" s="298"/>
      <c r="H134" s="279"/>
      <c r="I134" s="279"/>
      <c r="J134" s="203">
        <f>141.019+3.943-50.483</f>
        <v>94.47900000000001</v>
      </c>
      <c r="K134" s="203">
        <f>141.019+3.943-50.483</f>
        <v>94.47900000000001</v>
      </c>
      <c r="L134" s="203">
        <v>0</v>
      </c>
      <c r="M134" s="203">
        <v>0</v>
      </c>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75"/>
    </row>
    <row r="135" spans="1:61" s="68" customFormat="1" ht="30" customHeight="1">
      <c r="A135" s="90" t="s">
        <v>366</v>
      </c>
      <c r="B135" s="130" t="s">
        <v>367</v>
      </c>
      <c r="C135" s="94"/>
      <c r="D135" s="90"/>
      <c r="E135" s="114"/>
      <c r="F135" s="90"/>
      <c r="G135" s="115"/>
      <c r="H135" s="90"/>
      <c r="I135" s="90"/>
      <c r="J135" s="200">
        <f aca="true" t="shared" si="6" ref="J135:M136">J136</f>
        <v>0</v>
      </c>
      <c r="K135" s="200">
        <f t="shared" si="6"/>
        <v>0</v>
      </c>
      <c r="L135" s="200">
        <f t="shared" si="6"/>
        <v>80</v>
      </c>
      <c r="M135" s="200">
        <f t="shared" si="6"/>
        <v>80</v>
      </c>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75"/>
    </row>
    <row r="136" spans="1:61" s="68" customFormat="1" ht="45" customHeight="1">
      <c r="A136" s="4"/>
      <c r="B136" s="11" t="s">
        <v>293</v>
      </c>
      <c r="C136" s="34"/>
      <c r="D136" s="4"/>
      <c r="E136" s="14" t="s">
        <v>64</v>
      </c>
      <c r="F136" s="4"/>
      <c r="G136" s="13"/>
      <c r="H136" s="4"/>
      <c r="I136" s="4"/>
      <c r="J136" s="201">
        <f t="shared" si="6"/>
        <v>0</v>
      </c>
      <c r="K136" s="201">
        <f t="shared" si="6"/>
        <v>0</v>
      </c>
      <c r="L136" s="201">
        <f t="shared" si="6"/>
        <v>80</v>
      </c>
      <c r="M136" s="201">
        <f t="shared" si="6"/>
        <v>80</v>
      </c>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75"/>
    </row>
    <row r="137" spans="1:61" s="68" customFormat="1" ht="72" customHeight="1">
      <c r="A137" s="69"/>
      <c r="B137" s="11" t="s">
        <v>369</v>
      </c>
      <c r="C137" s="34" t="s">
        <v>863</v>
      </c>
      <c r="D137" s="4" t="s">
        <v>118</v>
      </c>
      <c r="E137" s="4" t="s">
        <v>368</v>
      </c>
      <c r="F137" s="4" t="s">
        <v>44</v>
      </c>
      <c r="G137" s="13" t="s">
        <v>603</v>
      </c>
      <c r="H137" s="4" t="s">
        <v>51</v>
      </c>
      <c r="I137" s="4" t="s">
        <v>229</v>
      </c>
      <c r="J137" s="201">
        <v>0</v>
      </c>
      <c r="K137" s="201">
        <v>0</v>
      </c>
      <c r="L137" s="201">
        <v>80</v>
      </c>
      <c r="M137" s="201">
        <v>80</v>
      </c>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75"/>
    </row>
    <row r="138" spans="1:62" s="70" customFormat="1" ht="120" customHeight="1">
      <c r="A138" s="90" t="s">
        <v>197</v>
      </c>
      <c r="B138" s="92" t="s">
        <v>198</v>
      </c>
      <c r="C138" s="90"/>
      <c r="D138" s="90"/>
      <c r="E138" s="99"/>
      <c r="F138" s="99"/>
      <c r="G138" s="94"/>
      <c r="H138" s="90"/>
      <c r="I138" s="90"/>
      <c r="J138" s="200">
        <f>J139</f>
        <v>48169.310849999994</v>
      </c>
      <c r="K138" s="200">
        <f>K139</f>
        <v>48169.310849999994</v>
      </c>
      <c r="L138" s="200">
        <f>L139</f>
        <v>43571.39614</v>
      </c>
      <c r="M138" s="200">
        <f>M139</f>
        <v>36050.78</v>
      </c>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66"/>
      <c r="BJ138" s="31"/>
    </row>
    <row r="139" spans="1:62" s="70" customFormat="1" ht="30" customHeight="1">
      <c r="A139" s="4"/>
      <c r="B139" s="15" t="s">
        <v>337</v>
      </c>
      <c r="C139" s="69"/>
      <c r="D139" s="4"/>
      <c r="E139" s="4" t="s">
        <v>84</v>
      </c>
      <c r="F139" s="69"/>
      <c r="G139" s="34"/>
      <c r="H139" s="4"/>
      <c r="I139" s="4"/>
      <c r="J139" s="201">
        <f>J140+J155</f>
        <v>48169.310849999994</v>
      </c>
      <c r="K139" s="201">
        <f>K140+K155</f>
        <v>48169.310849999994</v>
      </c>
      <c r="L139" s="201">
        <f>L140+L155</f>
        <v>43571.39614</v>
      </c>
      <c r="M139" s="201">
        <f>M140+M155</f>
        <v>36050.78</v>
      </c>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66"/>
      <c r="BJ139" s="31"/>
    </row>
    <row r="140" spans="1:61" s="31" customFormat="1" ht="15" customHeight="1">
      <c r="A140" s="4"/>
      <c r="B140" s="10" t="s">
        <v>338</v>
      </c>
      <c r="C140" s="69"/>
      <c r="D140" s="4"/>
      <c r="E140" s="4" t="s">
        <v>102</v>
      </c>
      <c r="F140" s="69"/>
      <c r="G140" s="7"/>
      <c r="H140" s="6"/>
      <c r="I140" s="4"/>
      <c r="J140" s="201">
        <f>J141+J142+J143+J144+J145+J146+J147+J148+J149+J153+J150+J152+J151+J154</f>
        <v>41018.39704999999</v>
      </c>
      <c r="K140" s="201">
        <f>K141+K142+K143+K144+K145+K146+K147+K148+K149+K153+K150+K152+K151+K154</f>
        <v>41018.39704999999</v>
      </c>
      <c r="L140" s="201">
        <f>L141+L142+L143+L144+L145+L146+L147+L148+L149+L153+L150+L152</f>
        <v>34320.78</v>
      </c>
      <c r="M140" s="201">
        <f>M141+M142+M143+M144+M145+M146+M147+M148+M149+M153+M150+M152</f>
        <v>33800.78</v>
      </c>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66"/>
    </row>
    <row r="141" spans="1:61" s="31" customFormat="1" ht="60" customHeight="1">
      <c r="A141" s="278"/>
      <c r="B141" s="304" t="s">
        <v>122</v>
      </c>
      <c r="C141" s="4" t="s">
        <v>867</v>
      </c>
      <c r="D141" s="3" t="s">
        <v>85</v>
      </c>
      <c r="E141" s="4" t="s">
        <v>339</v>
      </c>
      <c r="F141" s="3" t="s">
        <v>48</v>
      </c>
      <c r="G141" s="293" t="s">
        <v>621</v>
      </c>
      <c r="H141" s="278" t="s">
        <v>622</v>
      </c>
      <c r="I141" s="278" t="s">
        <v>623</v>
      </c>
      <c r="J141" s="207">
        <f>16328.337+201.615</f>
        <v>16529.952</v>
      </c>
      <c r="K141" s="201">
        <f>16328.337+201.615</f>
        <v>16529.952</v>
      </c>
      <c r="L141" s="207">
        <v>16328.337</v>
      </c>
      <c r="M141" s="207">
        <v>16328.337</v>
      </c>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66"/>
    </row>
    <row r="142" spans="1:61" s="31" customFormat="1" ht="60" customHeight="1">
      <c r="A142" s="279"/>
      <c r="B142" s="306"/>
      <c r="C142" s="4" t="s">
        <v>867</v>
      </c>
      <c r="D142" s="3" t="s">
        <v>85</v>
      </c>
      <c r="E142" s="4" t="s">
        <v>339</v>
      </c>
      <c r="F142" s="3" t="s">
        <v>340</v>
      </c>
      <c r="G142" s="324"/>
      <c r="H142" s="287"/>
      <c r="I142" s="287"/>
      <c r="J142" s="207">
        <f>11986.178+1095.955</f>
        <v>13082.133</v>
      </c>
      <c r="K142" s="201">
        <f>11986.178+1095.955</f>
        <v>13082.133</v>
      </c>
      <c r="L142" s="207">
        <v>11986.178</v>
      </c>
      <c r="M142" s="207">
        <v>11986.178</v>
      </c>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66"/>
    </row>
    <row r="143" spans="1:13" s="33" customFormat="1" ht="60" customHeight="1">
      <c r="A143" s="4"/>
      <c r="B143" s="15" t="s">
        <v>123</v>
      </c>
      <c r="C143" s="4" t="s">
        <v>867</v>
      </c>
      <c r="D143" s="4" t="s">
        <v>85</v>
      </c>
      <c r="E143" s="4" t="s">
        <v>576</v>
      </c>
      <c r="F143" s="4" t="s">
        <v>48</v>
      </c>
      <c r="G143" s="325"/>
      <c r="H143" s="279"/>
      <c r="I143" s="279"/>
      <c r="J143" s="207">
        <v>5486.265</v>
      </c>
      <c r="K143" s="201">
        <v>5486.265</v>
      </c>
      <c r="L143" s="207">
        <v>5486.265</v>
      </c>
      <c r="M143" s="207">
        <v>5486.265</v>
      </c>
    </row>
    <row r="144" spans="1:61" s="31" customFormat="1" ht="64.5" customHeight="1">
      <c r="A144" s="278"/>
      <c r="B144" s="304" t="s">
        <v>124</v>
      </c>
      <c r="C144" s="4" t="s">
        <v>867</v>
      </c>
      <c r="D144" s="3" t="s">
        <v>85</v>
      </c>
      <c r="E144" s="4" t="s">
        <v>539</v>
      </c>
      <c r="F144" s="4" t="s">
        <v>48</v>
      </c>
      <c r="G144" s="293" t="s">
        <v>624</v>
      </c>
      <c r="H144" s="276" t="s">
        <v>625</v>
      </c>
      <c r="I144" s="276" t="s">
        <v>377</v>
      </c>
      <c r="J144" s="207">
        <f>K144</f>
        <v>583.51</v>
      </c>
      <c r="K144" s="202">
        <f>450.4+133.11</f>
        <v>583.51</v>
      </c>
      <c r="L144" s="202">
        <v>0</v>
      </c>
      <c r="M144" s="202">
        <v>0</v>
      </c>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66"/>
    </row>
    <row r="145" spans="1:61" s="31" customFormat="1" ht="64.5" customHeight="1">
      <c r="A145" s="279"/>
      <c r="B145" s="306"/>
      <c r="C145" s="4" t="s">
        <v>867</v>
      </c>
      <c r="D145" s="3" t="s">
        <v>85</v>
      </c>
      <c r="E145" s="4" t="s">
        <v>539</v>
      </c>
      <c r="F145" s="4" t="s">
        <v>340</v>
      </c>
      <c r="G145" s="325"/>
      <c r="H145" s="277"/>
      <c r="I145" s="277"/>
      <c r="J145" s="207">
        <v>512.04</v>
      </c>
      <c r="K145" s="202">
        <f>169.82+342.22</f>
        <v>512.04</v>
      </c>
      <c r="L145" s="202">
        <v>0</v>
      </c>
      <c r="M145" s="202">
        <v>0</v>
      </c>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66"/>
    </row>
    <row r="146" spans="1:61" s="31" customFormat="1" ht="38.25" customHeight="1">
      <c r="A146" s="119"/>
      <c r="B146" s="300" t="s">
        <v>928</v>
      </c>
      <c r="C146" s="4" t="s">
        <v>867</v>
      </c>
      <c r="D146" s="3" t="s">
        <v>85</v>
      </c>
      <c r="E146" s="3" t="s">
        <v>929</v>
      </c>
      <c r="F146" s="4" t="s">
        <v>48</v>
      </c>
      <c r="G146" s="319" t="s">
        <v>946</v>
      </c>
      <c r="H146" s="113" t="s">
        <v>947</v>
      </c>
      <c r="I146" s="113" t="s">
        <v>886</v>
      </c>
      <c r="J146" s="207">
        <v>260</v>
      </c>
      <c r="K146" s="202">
        <v>260</v>
      </c>
      <c r="L146" s="202">
        <v>520</v>
      </c>
      <c r="M146" s="202">
        <v>0</v>
      </c>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66"/>
    </row>
    <row r="147" spans="1:61" s="31" customFormat="1" ht="38.25" customHeight="1">
      <c r="A147" s="119"/>
      <c r="B147" s="391"/>
      <c r="C147" s="4" t="s">
        <v>867</v>
      </c>
      <c r="D147" s="3" t="s">
        <v>85</v>
      </c>
      <c r="E147" s="3" t="s">
        <v>929</v>
      </c>
      <c r="F147" s="4" t="s">
        <v>340</v>
      </c>
      <c r="G147" s="320"/>
      <c r="H147" s="113" t="s">
        <v>947</v>
      </c>
      <c r="I147" s="113" t="s">
        <v>886</v>
      </c>
      <c r="J147" s="207">
        <v>260</v>
      </c>
      <c r="K147" s="202">
        <v>260</v>
      </c>
      <c r="L147" s="202">
        <v>0</v>
      </c>
      <c r="M147" s="202">
        <v>0</v>
      </c>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66"/>
    </row>
    <row r="148" spans="1:61" s="31" customFormat="1" ht="33.75" customHeight="1">
      <c r="A148" s="119"/>
      <c r="B148" s="304" t="s">
        <v>930</v>
      </c>
      <c r="C148" s="4" t="s">
        <v>867</v>
      </c>
      <c r="D148" s="3" t="s">
        <v>85</v>
      </c>
      <c r="E148" s="3" t="s">
        <v>931</v>
      </c>
      <c r="F148" s="4" t="s">
        <v>48</v>
      </c>
      <c r="G148" s="319" t="s">
        <v>955</v>
      </c>
      <c r="H148" s="276" t="s">
        <v>383</v>
      </c>
      <c r="I148" s="113" t="s">
        <v>886</v>
      </c>
      <c r="J148" s="207">
        <f>K148</f>
        <v>837</v>
      </c>
      <c r="K148" s="202">
        <f>550+299-12</f>
        <v>837</v>
      </c>
      <c r="L148" s="202">
        <v>0</v>
      </c>
      <c r="M148" s="202">
        <v>0</v>
      </c>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66"/>
    </row>
    <row r="149" spans="1:61" s="31" customFormat="1" ht="54.75" customHeight="1">
      <c r="A149" s="119"/>
      <c r="B149" s="306"/>
      <c r="C149" s="4" t="s">
        <v>867</v>
      </c>
      <c r="D149" s="3" t="s">
        <v>85</v>
      </c>
      <c r="E149" s="3" t="s">
        <v>931</v>
      </c>
      <c r="F149" s="4" t="s">
        <v>340</v>
      </c>
      <c r="G149" s="327"/>
      <c r="H149" s="299"/>
      <c r="I149" s="113" t="s">
        <v>886</v>
      </c>
      <c r="J149" s="207">
        <f>197+220</f>
        <v>417</v>
      </c>
      <c r="K149" s="202">
        <f>197+220</f>
        <v>417</v>
      </c>
      <c r="L149" s="202">
        <v>0</v>
      </c>
      <c r="M149" s="202">
        <v>0</v>
      </c>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66"/>
    </row>
    <row r="150" spans="1:61" s="31" customFormat="1" ht="76.5" customHeight="1">
      <c r="A150" s="119"/>
      <c r="B150" s="278" t="s">
        <v>952</v>
      </c>
      <c r="C150" s="4" t="s">
        <v>867</v>
      </c>
      <c r="D150" s="4" t="s">
        <v>85</v>
      </c>
      <c r="E150" s="3" t="s">
        <v>953</v>
      </c>
      <c r="F150" s="4" t="s">
        <v>48</v>
      </c>
      <c r="G150" s="319" t="s">
        <v>954</v>
      </c>
      <c r="H150" s="276" t="s">
        <v>383</v>
      </c>
      <c r="I150" s="113" t="s">
        <v>873</v>
      </c>
      <c r="J150" s="203">
        <f>K150</f>
        <v>277.19527000000005</v>
      </c>
      <c r="K150" s="202">
        <f>424.0033-146.80803</f>
        <v>277.19527000000005</v>
      </c>
      <c r="L150" s="202">
        <v>0</v>
      </c>
      <c r="M150" s="202">
        <v>0</v>
      </c>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66"/>
    </row>
    <row r="151" spans="1:61" s="31" customFormat="1" ht="76.5" customHeight="1">
      <c r="A151" s="119"/>
      <c r="B151" s="279"/>
      <c r="C151" s="4" t="s">
        <v>867</v>
      </c>
      <c r="D151" s="119" t="s">
        <v>85</v>
      </c>
      <c r="E151" s="3" t="s">
        <v>953</v>
      </c>
      <c r="F151" s="4" t="s">
        <v>340</v>
      </c>
      <c r="G151" s="327"/>
      <c r="H151" s="299"/>
      <c r="I151" s="113" t="s">
        <v>1001</v>
      </c>
      <c r="J151" s="207">
        <v>139.44555</v>
      </c>
      <c r="K151" s="207">
        <v>139.44555</v>
      </c>
      <c r="L151" s="202">
        <v>0</v>
      </c>
      <c r="M151" s="202">
        <v>0</v>
      </c>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66"/>
    </row>
    <row r="152" spans="1:61" s="31" customFormat="1" ht="45" customHeight="1">
      <c r="A152" s="119"/>
      <c r="B152" s="16" t="s">
        <v>952</v>
      </c>
      <c r="C152" s="4" t="s">
        <v>867</v>
      </c>
      <c r="D152" s="119" t="s">
        <v>83</v>
      </c>
      <c r="E152" s="4" t="s">
        <v>953</v>
      </c>
      <c r="F152" s="4" t="s">
        <v>48</v>
      </c>
      <c r="G152" s="320"/>
      <c r="H152" s="277"/>
      <c r="I152" s="113" t="s">
        <v>873</v>
      </c>
      <c r="J152" s="203">
        <f>K152</f>
        <v>2568.8562300000003</v>
      </c>
      <c r="K152" s="202">
        <f>2798.4796-229.62337</f>
        <v>2568.8562300000003</v>
      </c>
      <c r="L152" s="202">
        <v>0</v>
      </c>
      <c r="M152" s="202">
        <v>0</v>
      </c>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66"/>
    </row>
    <row r="153" spans="1:61" s="31" customFormat="1" ht="76.5" customHeight="1">
      <c r="A153" s="119"/>
      <c r="B153" s="112" t="s">
        <v>932</v>
      </c>
      <c r="C153" s="4" t="s">
        <v>867</v>
      </c>
      <c r="D153" s="4" t="s">
        <v>12</v>
      </c>
      <c r="E153" s="119" t="s">
        <v>933</v>
      </c>
      <c r="F153" s="4" t="s">
        <v>48</v>
      </c>
      <c r="G153" s="319" t="s">
        <v>948</v>
      </c>
      <c r="H153" s="276" t="s">
        <v>383</v>
      </c>
      <c r="I153" s="276" t="s">
        <v>949</v>
      </c>
      <c r="J153" s="207">
        <v>40</v>
      </c>
      <c r="K153" s="202">
        <v>40</v>
      </c>
      <c r="L153" s="202">
        <v>0</v>
      </c>
      <c r="M153" s="202">
        <v>0</v>
      </c>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66"/>
    </row>
    <row r="154" spans="1:61" s="31" customFormat="1" ht="45" customHeight="1">
      <c r="A154" s="119"/>
      <c r="B154" s="112" t="s">
        <v>932</v>
      </c>
      <c r="C154" s="4" t="s">
        <v>867</v>
      </c>
      <c r="D154" s="4" t="s">
        <v>12</v>
      </c>
      <c r="E154" s="119" t="s">
        <v>1010</v>
      </c>
      <c r="F154" s="4" t="s">
        <v>48</v>
      </c>
      <c r="G154" s="320"/>
      <c r="H154" s="277"/>
      <c r="I154" s="277"/>
      <c r="J154" s="207">
        <v>25</v>
      </c>
      <c r="K154" s="202">
        <v>25</v>
      </c>
      <c r="L154" s="202">
        <v>0</v>
      </c>
      <c r="M154" s="202">
        <v>0</v>
      </c>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66"/>
    </row>
    <row r="155" spans="1:61" s="31" customFormat="1" ht="30" customHeight="1">
      <c r="A155" s="119"/>
      <c r="B155" s="112" t="s">
        <v>341</v>
      </c>
      <c r="C155" s="4"/>
      <c r="D155" s="119"/>
      <c r="E155" s="119" t="s">
        <v>100</v>
      </c>
      <c r="F155" s="4"/>
      <c r="G155" s="105"/>
      <c r="H155" s="121"/>
      <c r="I155" s="3"/>
      <c r="J155" s="203">
        <f>J156+J162+J157+J163+J160+J161+J158+J159</f>
        <v>7150.9138</v>
      </c>
      <c r="K155" s="201">
        <f>K156+K162+K157+K163+K160+K161+K158+K159</f>
        <v>7150.9138</v>
      </c>
      <c r="L155" s="203">
        <f>L156+L162+L157+L163+L160+L161+L158+L159</f>
        <v>9250.61614</v>
      </c>
      <c r="M155" s="203">
        <f>M156+M162+M157+M163+M160+M161+M158+M159</f>
        <v>2250</v>
      </c>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66"/>
    </row>
    <row r="156" spans="1:61" s="31" customFormat="1" ht="73.5" customHeight="1">
      <c r="A156" s="278"/>
      <c r="B156" s="304" t="s">
        <v>91</v>
      </c>
      <c r="C156" s="4" t="s">
        <v>867</v>
      </c>
      <c r="D156" s="4" t="s">
        <v>85</v>
      </c>
      <c r="E156" s="119" t="s">
        <v>342</v>
      </c>
      <c r="F156" s="4" t="s">
        <v>48</v>
      </c>
      <c r="G156" s="319" t="s">
        <v>595</v>
      </c>
      <c r="H156" s="276" t="s">
        <v>376</v>
      </c>
      <c r="I156" s="276" t="s">
        <v>596</v>
      </c>
      <c r="J156" s="207">
        <f>1161.267-500+330.633</f>
        <v>991.9000000000001</v>
      </c>
      <c r="K156" s="202">
        <f>1161.267-500+330.633</f>
        <v>991.9000000000001</v>
      </c>
      <c r="L156" s="202">
        <v>855.331</v>
      </c>
      <c r="M156" s="202">
        <v>500</v>
      </c>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66"/>
    </row>
    <row r="157" spans="1:61" s="31" customFormat="1" ht="73.5" customHeight="1">
      <c r="A157" s="279"/>
      <c r="B157" s="306"/>
      <c r="C157" s="4" t="s">
        <v>867</v>
      </c>
      <c r="D157" s="4" t="s">
        <v>85</v>
      </c>
      <c r="E157" s="119" t="s">
        <v>342</v>
      </c>
      <c r="F157" s="4" t="s">
        <v>340</v>
      </c>
      <c r="G157" s="320"/>
      <c r="H157" s="277"/>
      <c r="I157" s="277"/>
      <c r="J157" s="201">
        <f>166.62+97.318+225.4023</f>
        <v>489.34029999999996</v>
      </c>
      <c r="K157" s="201">
        <f>166.62+97.318+225.4023</f>
        <v>489.34029999999996</v>
      </c>
      <c r="L157" s="202">
        <v>427.666</v>
      </c>
      <c r="M157" s="202">
        <v>250</v>
      </c>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66"/>
    </row>
    <row r="158" spans="1:61" s="31" customFormat="1" ht="102" customHeight="1">
      <c r="A158" s="163"/>
      <c r="B158" s="304" t="s">
        <v>573</v>
      </c>
      <c r="C158" s="4" t="s">
        <v>867</v>
      </c>
      <c r="D158" s="4" t="s">
        <v>85</v>
      </c>
      <c r="E158" s="119" t="s">
        <v>574</v>
      </c>
      <c r="F158" s="4" t="s">
        <v>48</v>
      </c>
      <c r="G158" s="319" t="s">
        <v>737</v>
      </c>
      <c r="H158" s="276" t="s">
        <v>599</v>
      </c>
      <c r="I158" s="276" t="s">
        <v>626</v>
      </c>
      <c r="J158" s="202">
        <v>0</v>
      </c>
      <c r="K158" s="202">
        <v>0</v>
      </c>
      <c r="L158" s="202">
        <v>0</v>
      </c>
      <c r="M158" s="234">
        <v>0</v>
      </c>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66"/>
    </row>
    <row r="159" spans="1:61" s="31" customFormat="1" ht="102" customHeight="1">
      <c r="A159" s="119"/>
      <c r="B159" s="306"/>
      <c r="C159" s="4" t="s">
        <v>867</v>
      </c>
      <c r="D159" s="4" t="s">
        <v>85</v>
      </c>
      <c r="E159" s="119" t="s">
        <v>574</v>
      </c>
      <c r="F159" s="4" t="s">
        <v>340</v>
      </c>
      <c r="G159" s="320"/>
      <c r="H159" s="277"/>
      <c r="I159" s="277"/>
      <c r="J159" s="202">
        <f>K159</f>
        <v>1277.2797</v>
      </c>
      <c r="K159" s="202">
        <f>1600-97.318-225.4023</f>
        <v>1277.2797</v>
      </c>
      <c r="L159" s="202">
        <v>0</v>
      </c>
      <c r="M159" s="234">
        <v>0</v>
      </c>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66"/>
    </row>
    <row r="160" spans="1:61" s="31" customFormat="1" ht="32.25" customHeight="1">
      <c r="A160" s="163"/>
      <c r="B160" s="331" t="s">
        <v>570</v>
      </c>
      <c r="C160" s="4" t="s">
        <v>867</v>
      </c>
      <c r="D160" s="4" t="s">
        <v>85</v>
      </c>
      <c r="E160" s="161" t="s">
        <v>571</v>
      </c>
      <c r="F160" s="4" t="s">
        <v>48</v>
      </c>
      <c r="G160" s="319" t="s">
        <v>738</v>
      </c>
      <c r="H160" s="276" t="s">
        <v>597</v>
      </c>
      <c r="I160" s="276" t="s">
        <v>598</v>
      </c>
      <c r="J160" s="207">
        <v>0</v>
      </c>
      <c r="K160" s="202">
        <v>0</v>
      </c>
      <c r="L160" s="207">
        <f>3525+467.61914</f>
        <v>3992.61914</v>
      </c>
      <c r="M160" s="209">
        <v>750</v>
      </c>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66"/>
    </row>
    <row r="161" spans="1:61" s="31" customFormat="1" ht="32.25" customHeight="1">
      <c r="A161" s="163"/>
      <c r="B161" s="338"/>
      <c r="C161" s="4" t="s">
        <v>867</v>
      </c>
      <c r="D161" s="4" t="s">
        <v>85</v>
      </c>
      <c r="E161" s="161" t="s">
        <v>571</v>
      </c>
      <c r="F161" s="4" t="s">
        <v>340</v>
      </c>
      <c r="G161" s="320"/>
      <c r="H161" s="277"/>
      <c r="I161" s="277"/>
      <c r="J161" s="207">
        <f>K161</f>
        <v>3690.4778</v>
      </c>
      <c r="K161" s="201">
        <f>922.61945+2767.85835</f>
        <v>3690.4778</v>
      </c>
      <c r="L161" s="207">
        <v>3975</v>
      </c>
      <c r="M161" s="209">
        <v>750</v>
      </c>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66"/>
    </row>
    <row r="162" spans="1:61" s="31" customFormat="1" ht="72.75" customHeight="1">
      <c r="A162" s="278"/>
      <c r="B162" s="304" t="s">
        <v>92</v>
      </c>
      <c r="C162" s="4" t="s">
        <v>867</v>
      </c>
      <c r="D162" s="4" t="s">
        <v>85</v>
      </c>
      <c r="E162" s="119" t="s">
        <v>343</v>
      </c>
      <c r="F162" s="4" t="s">
        <v>48</v>
      </c>
      <c r="G162" s="319" t="s">
        <v>600</v>
      </c>
      <c r="H162" s="276" t="s">
        <v>378</v>
      </c>
      <c r="I162" s="276" t="s">
        <v>601</v>
      </c>
      <c r="J162" s="207">
        <v>457.863</v>
      </c>
      <c r="K162" s="201">
        <v>457.863</v>
      </c>
      <c r="L162" s="202">
        <v>0</v>
      </c>
      <c r="M162" s="202">
        <v>0</v>
      </c>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66"/>
    </row>
    <row r="163" spans="1:61" s="31" customFormat="1" ht="72.75" customHeight="1">
      <c r="A163" s="279"/>
      <c r="B163" s="306"/>
      <c r="C163" s="4" t="s">
        <v>867</v>
      </c>
      <c r="D163" s="4" t="s">
        <v>85</v>
      </c>
      <c r="E163" s="119" t="s">
        <v>343</v>
      </c>
      <c r="F163" s="4" t="s">
        <v>340</v>
      </c>
      <c r="G163" s="320"/>
      <c r="H163" s="277"/>
      <c r="I163" s="277"/>
      <c r="J163" s="207">
        <f>244.053+166.62-166.62</f>
        <v>244.053</v>
      </c>
      <c r="K163" s="201">
        <f>244.053+166.62-166.62</f>
        <v>244.053</v>
      </c>
      <c r="L163" s="202">
        <v>0</v>
      </c>
      <c r="M163" s="202">
        <v>0</v>
      </c>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66"/>
    </row>
    <row r="164" spans="1:62" s="70" customFormat="1" ht="180" customHeight="1">
      <c r="A164" s="90" t="s">
        <v>199</v>
      </c>
      <c r="B164" s="92" t="s">
        <v>200</v>
      </c>
      <c r="C164" s="90"/>
      <c r="D164" s="90"/>
      <c r="E164" s="99"/>
      <c r="F164" s="99"/>
      <c r="G164" s="94"/>
      <c r="H164" s="90"/>
      <c r="I164" s="90"/>
      <c r="J164" s="200">
        <f>J165+J187</f>
        <v>50555.06284</v>
      </c>
      <c r="K164" s="200">
        <f>K165+K187</f>
        <v>50555.06284</v>
      </c>
      <c r="L164" s="200">
        <f>L165</f>
        <v>46313.567</v>
      </c>
      <c r="M164" s="200">
        <f>M165</f>
        <v>37733.98351</v>
      </c>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66"/>
      <c r="BJ164" s="31"/>
    </row>
    <row r="165" spans="1:62" s="70" customFormat="1" ht="30" customHeight="1">
      <c r="A165" s="4"/>
      <c r="B165" s="15" t="s">
        <v>379</v>
      </c>
      <c r="C165" s="69"/>
      <c r="D165" s="4"/>
      <c r="E165" s="4" t="s">
        <v>84</v>
      </c>
      <c r="F165" s="69"/>
      <c r="G165" s="34"/>
      <c r="H165" s="4"/>
      <c r="I165" s="4"/>
      <c r="J165" s="201">
        <f>J166+J178+J182+J177+J169</f>
        <v>49771.65263</v>
      </c>
      <c r="K165" s="201">
        <f>K166+K178+K182+K177</f>
        <v>49771.65263</v>
      </c>
      <c r="L165" s="201">
        <f>L166+L178+L182+L177</f>
        <v>46313.567</v>
      </c>
      <c r="M165" s="201">
        <f>M166+M178+M182+M177</f>
        <v>37733.98351</v>
      </c>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66"/>
      <c r="BJ165" s="31"/>
    </row>
    <row r="166" spans="1:61" s="31" customFormat="1" ht="15" customHeight="1">
      <c r="A166" s="4"/>
      <c r="B166" s="10" t="s">
        <v>380</v>
      </c>
      <c r="C166" s="69"/>
      <c r="D166" s="4"/>
      <c r="E166" s="4" t="s">
        <v>102</v>
      </c>
      <c r="F166" s="69"/>
      <c r="G166" s="7"/>
      <c r="H166" s="6"/>
      <c r="I166" s="4"/>
      <c r="J166" s="201">
        <f>J167+J168+J170+J174+J171+J172+J173+J175</f>
        <v>28525.19803</v>
      </c>
      <c r="K166" s="201">
        <f>K167+K168+K170+K174+K171+K172+K173+K175+K169</f>
        <v>37917.79803</v>
      </c>
      <c r="L166" s="201">
        <f>L167+L168+L170+L174+L171+L172+L173+L175+L169</f>
        <v>42969.908</v>
      </c>
      <c r="M166" s="201">
        <f>M167+M168+M170+M174+M171+M172+M173+M175</f>
        <v>22707.508</v>
      </c>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66"/>
    </row>
    <row r="167" spans="1:65" s="68" customFormat="1" ht="177" customHeight="1">
      <c r="A167" s="4"/>
      <c r="B167" s="15" t="s">
        <v>96</v>
      </c>
      <c r="C167" s="4" t="s">
        <v>867</v>
      </c>
      <c r="D167" s="4" t="s">
        <v>83</v>
      </c>
      <c r="E167" s="4" t="s">
        <v>381</v>
      </c>
      <c r="F167" s="4" t="s">
        <v>48</v>
      </c>
      <c r="G167" s="105" t="s">
        <v>627</v>
      </c>
      <c r="H167" s="3" t="s">
        <v>622</v>
      </c>
      <c r="I167" s="3" t="s">
        <v>623</v>
      </c>
      <c r="J167" s="202">
        <v>17218.808</v>
      </c>
      <c r="K167" s="202">
        <f>J167</f>
        <v>17218.808</v>
      </c>
      <c r="L167" s="202">
        <f>K167</f>
        <v>17218.808</v>
      </c>
      <c r="M167" s="202">
        <f>L167</f>
        <v>17218.808</v>
      </c>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75"/>
    </row>
    <row r="168" spans="1:64" ht="165" customHeight="1">
      <c r="A168" s="119"/>
      <c r="B168" s="16" t="s">
        <v>604</v>
      </c>
      <c r="C168" s="4" t="s">
        <v>867</v>
      </c>
      <c r="D168" s="120" t="s">
        <v>83</v>
      </c>
      <c r="E168" s="4" t="s">
        <v>543</v>
      </c>
      <c r="F168" s="4" t="s">
        <v>48</v>
      </c>
      <c r="G168" s="105" t="s">
        <v>628</v>
      </c>
      <c r="H168" s="4" t="s">
        <v>629</v>
      </c>
      <c r="I168" s="3" t="s">
        <v>630</v>
      </c>
      <c r="J168" s="202">
        <f>K168</f>
        <v>4540</v>
      </c>
      <c r="K168" s="202">
        <f>384.9+19.6+4989.2-853.7</f>
        <v>4540</v>
      </c>
      <c r="L168" s="202">
        <f>384.9+4989.2+19.6</f>
        <v>5393.7</v>
      </c>
      <c r="M168" s="202">
        <f>384.9+4989.2+19.6</f>
        <v>5393.7</v>
      </c>
      <c r="BI168" s="33"/>
      <c r="BJ168" s="33"/>
      <c r="BK168" s="33"/>
      <c r="BL168" s="33"/>
    </row>
    <row r="169" spans="1:64" ht="165" customHeight="1">
      <c r="A169" s="119"/>
      <c r="B169" s="16" t="s">
        <v>1003</v>
      </c>
      <c r="C169" s="4" t="s">
        <v>867</v>
      </c>
      <c r="D169" s="120" t="s">
        <v>83</v>
      </c>
      <c r="E169" s="4" t="s">
        <v>1002</v>
      </c>
      <c r="F169" s="4" t="s">
        <v>48</v>
      </c>
      <c r="G169" s="171" t="s">
        <v>1004</v>
      </c>
      <c r="H169" s="4" t="s">
        <v>383</v>
      </c>
      <c r="I169" s="120" t="s">
        <v>1005</v>
      </c>
      <c r="J169" s="202">
        <v>9392.6</v>
      </c>
      <c r="K169" s="202">
        <v>9392.6</v>
      </c>
      <c r="L169" s="202">
        <v>20262.4</v>
      </c>
      <c r="M169" s="202">
        <v>0</v>
      </c>
      <c r="BI169" s="33"/>
      <c r="BJ169" s="33"/>
      <c r="BK169" s="33"/>
      <c r="BL169" s="33"/>
    </row>
    <row r="170" spans="1:64" ht="49.5" customHeight="1">
      <c r="A170" s="69"/>
      <c r="B170" s="11" t="s">
        <v>86</v>
      </c>
      <c r="C170" s="4" t="s">
        <v>867</v>
      </c>
      <c r="D170" s="4" t="s">
        <v>83</v>
      </c>
      <c r="E170" s="4" t="s">
        <v>384</v>
      </c>
      <c r="F170" s="4" t="s">
        <v>48</v>
      </c>
      <c r="G170" s="171" t="s">
        <v>594</v>
      </c>
      <c r="H170" s="4" t="s">
        <v>126</v>
      </c>
      <c r="I170" s="120" t="s">
        <v>229</v>
      </c>
      <c r="J170" s="202">
        <f>K170</f>
        <v>15</v>
      </c>
      <c r="K170" s="202">
        <f>95-80</f>
        <v>15</v>
      </c>
      <c r="L170" s="202">
        <v>95</v>
      </c>
      <c r="M170" s="202">
        <v>95</v>
      </c>
      <c r="BI170" s="33"/>
      <c r="BJ170" s="33"/>
      <c r="BK170" s="33"/>
      <c r="BL170" s="33"/>
    </row>
    <row r="171" spans="1:64" ht="142.5" customHeight="1">
      <c r="A171" s="4"/>
      <c r="B171" s="15" t="s">
        <v>87</v>
      </c>
      <c r="C171" s="4" t="s">
        <v>867</v>
      </c>
      <c r="D171" s="4" t="s">
        <v>83</v>
      </c>
      <c r="E171" s="4" t="s">
        <v>385</v>
      </c>
      <c r="F171" s="4" t="s">
        <v>48</v>
      </c>
      <c r="G171" s="5" t="s">
        <v>386</v>
      </c>
      <c r="H171" s="6" t="s">
        <v>387</v>
      </c>
      <c r="I171" s="4" t="s">
        <v>107</v>
      </c>
      <c r="J171" s="202">
        <f>855.4-165.961-246</f>
        <v>443.43899999999996</v>
      </c>
      <c r="K171" s="202">
        <f>855.4-165.961-246</f>
        <v>443.43899999999996</v>
      </c>
      <c r="L171" s="202">
        <v>0</v>
      </c>
      <c r="M171" s="202">
        <v>0</v>
      </c>
      <c r="BI171" s="33"/>
      <c r="BJ171" s="33"/>
      <c r="BK171" s="33"/>
      <c r="BL171" s="33"/>
    </row>
    <row r="172" spans="1:64" ht="132" customHeight="1">
      <c r="A172" s="4"/>
      <c r="B172" s="15" t="s">
        <v>88</v>
      </c>
      <c r="C172" s="4" t="s">
        <v>867</v>
      </c>
      <c r="D172" s="4" t="s">
        <v>83</v>
      </c>
      <c r="E172" s="4" t="s">
        <v>388</v>
      </c>
      <c r="F172" s="4" t="s">
        <v>48</v>
      </c>
      <c r="G172" s="5" t="s">
        <v>624</v>
      </c>
      <c r="H172" s="6" t="s">
        <v>631</v>
      </c>
      <c r="I172" s="4" t="s">
        <v>377</v>
      </c>
      <c r="J172" s="202">
        <f>4080.6-485.45845-310-637.87647</f>
        <v>2647.2650799999997</v>
      </c>
      <c r="K172" s="202">
        <f>4080.6-19.6-465.85845-310-637.87647</f>
        <v>2647.2650799999997</v>
      </c>
      <c r="L172" s="202">
        <v>0</v>
      </c>
      <c r="M172" s="202">
        <v>0</v>
      </c>
      <c r="BI172" s="33"/>
      <c r="BJ172" s="33"/>
      <c r="BK172" s="33"/>
      <c r="BL172" s="33"/>
    </row>
    <row r="173" spans="1:64" ht="133.5" customHeight="1">
      <c r="A173" s="4"/>
      <c r="B173" s="15" t="s">
        <v>389</v>
      </c>
      <c r="C173" s="4" t="s">
        <v>867</v>
      </c>
      <c r="D173" s="4" t="s">
        <v>12</v>
      </c>
      <c r="E173" s="4" t="s">
        <v>540</v>
      </c>
      <c r="F173" s="4" t="s">
        <v>48</v>
      </c>
      <c r="G173" s="5" t="s">
        <v>624</v>
      </c>
      <c r="H173" s="6" t="s">
        <v>631</v>
      </c>
      <c r="I173" s="4" t="s">
        <v>377</v>
      </c>
      <c r="J173" s="202">
        <f>2142.525+49.22195</f>
        <v>2191.74695</v>
      </c>
      <c r="K173" s="202">
        <f>1023.326+500+427.4+241.02095</f>
        <v>2191.74695</v>
      </c>
      <c r="L173" s="202">
        <v>0</v>
      </c>
      <c r="M173" s="202">
        <v>0</v>
      </c>
      <c r="BI173" s="33"/>
      <c r="BJ173" s="33"/>
      <c r="BK173" s="33"/>
      <c r="BL173" s="33"/>
    </row>
    <row r="174" spans="1:64" ht="86.25" customHeight="1">
      <c r="A174" s="69"/>
      <c r="B174" s="16" t="s">
        <v>541</v>
      </c>
      <c r="C174" s="4" t="s">
        <v>867</v>
      </c>
      <c r="D174" s="4" t="s">
        <v>83</v>
      </c>
      <c r="E174" s="4" t="s">
        <v>390</v>
      </c>
      <c r="F174" s="4" t="s">
        <v>44</v>
      </c>
      <c r="G174" s="5" t="s">
        <v>632</v>
      </c>
      <c r="H174" s="4" t="s">
        <v>382</v>
      </c>
      <c r="I174" s="120" t="s">
        <v>391</v>
      </c>
      <c r="J174" s="202">
        <f>50-50</f>
        <v>0</v>
      </c>
      <c r="K174" s="202">
        <f>50-50</f>
        <v>0</v>
      </c>
      <c r="L174" s="202">
        <f>50-50</f>
        <v>0</v>
      </c>
      <c r="M174" s="202">
        <f>50-50</f>
        <v>0</v>
      </c>
      <c r="BI174" s="33"/>
      <c r="BJ174" s="33"/>
      <c r="BK174" s="33"/>
      <c r="BL174" s="33"/>
    </row>
    <row r="175" spans="1:65" s="31" customFormat="1" ht="129.75" customHeight="1">
      <c r="A175" s="120"/>
      <c r="B175" s="135" t="s">
        <v>124</v>
      </c>
      <c r="C175" s="4" t="s">
        <v>867</v>
      </c>
      <c r="D175" s="4" t="s">
        <v>83</v>
      </c>
      <c r="E175" s="4" t="s">
        <v>539</v>
      </c>
      <c r="F175" s="4" t="s">
        <v>48</v>
      </c>
      <c r="G175" s="34" t="s">
        <v>624</v>
      </c>
      <c r="H175" s="120" t="s">
        <v>625</v>
      </c>
      <c r="I175" s="4" t="s">
        <v>377</v>
      </c>
      <c r="J175" s="202">
        <v>1468.939</v>
      </c>
      <c r="K175" s="202">
        <f>578.07+890.869</f>
        <v>1468.939</v>
      </c>
      <c r="L175" s="202">
        <v>0</v>
      </c>
      <c r="M175" s="202">
        <f>L175</f>
        <v>0</v>
      </c>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66"/>
    </row>
    <row r="176" spans="1:13" s="33" customFormat="1" ht="33.75" customHeight="1">
      <c r="A176" s="120"/>
      <c r="B176" s="135" t="s">
        <v>935</v>
      </c>
      <c r="C176" s="4"/>
      <c r="D176" s="4"/>
      <c r="E176" s="4" t="s">
        <v>936</v>
      </c>
      <c r="F176" s="4"/>
      <c r="G176" s="34"/>
      <c r="H176" s="53"/>
      <c r="I176" s="34"/>
      <c r="J176" s="201">
        <f>J177</f>
        <v>0</v>
      </c>
      <c r="K176" s="201">
        <f>K177</f>
        <v>0</v>
      </c>
      <c r="L176" s="201">
        <f>L177</f>
        <v>0</v>
      </c>
      <c r="M176" s="201">
        <f>M177</f>
        <v>7887.04963</v>
      </c>
    </row>
    <row r="177" spans="1:13" s="33" customFormat="1" ht="41.25" customHeight="1">
      <c r="A177" s="120"/>
      <c r="B177" s="135" t="s">
        <v>937</v>
      </c>
      <c r="C177" s="4" t="s">
        <v>867</v>
      </c>
      <c r="D177" s="4" t="s">
        <v>83</v>
      </c>
      <c r="E177" s="4" t="s">
        <v>938</v>
      </c>
      <c r="F177" s="4"/>
      <c r="G177" s="53" t="s">
        <v>950</v>
      </c>
      <c r="H177" s="120" t="s">
        <v>383</v>
      </c>
      <c r="I177" s="4" t="s">
        <v>886</v>
      </c>
      <c r="J177" s="202">
        <v>0</v>
      </c>
      <c r="K177" s="202">
        <v>0</v>
      </c>
      <c r="L177" s="202">
        <v>0</v>
      </c>
      <c r="M177" s="202">
        <v>7887.04963</v>
      </c>
    </row>
    <row r="178" spans="1:64" ht="30" customHeight="1">
      <c r="A178" s="36"/>
      <c r="B178" s="15" t="s">
        <v>89</v>
      </c>
      <c r="C178" s="4"/>
      <c r="D178" s="4"/>
      <c r="E178" s="4" t="s">
        <v>101</v>
      </c>
      <c r="F178" s="69"/>
      <c r="G178" s="139"/>
      <c r="H178" s="246"/>
      <c r="I178" s="246"/>
      <c r="J178" s="201">
        <f>J179+J180+J181</f>
        <v>147.31757</v>
      </c>
      <c r="K178" s="201">
        <f>K179+K180+K181</f>
        <v>147.31757</v>
      </c>
      <c r="L178" s="201">
        <f>L179+L180+L181</f>
        <v>350</v>
      </c>
      <c r="M178" s="201">
        <f>M179+M180+M181</f>
        <v>350</v>
      </c>
      <c r="BI178" s="33"/>
      <c r="BJ178" s="33"/>
      <c r="BK178" s="33"/>
      <c r="BL178" s="33"/>
    </row>
    <row r="179" spans="1:65" s="31" customFormat="1" ht="66.75" customHeight="1">
      <c r="A179" s="278"/>
      <c r="B179" s="304" t="s">
        <v>392</v>
      </c>
      <c r="C179" s="4" t="s">
        <v>867</v>
      </c>
      <c r="D179" s="4" t="s">
        <v>83</v>
      </c>
      <c r="E179" s="4" t="s">
        <v>347</v>
      </c>
      <c r="F179" s="120" t="s">
        <v>44</v>
      </c>
      <c r="G179" s="274" t="s">
        <v>633</v>
      </c>
      <c r="H179" s="280" t="s">
        <v>625</v>
      </c>
      <c r="I179" s="280" t="s">
        <v>393</v>
      </c>
      <c r="J179" s="202">
        <f>100-50.625</f>
        <v>49.375</v>
      </c>
      <c r="K179" s="202">
        <f>100-50.625</f>
        <v>49.375</v>
      </c>
      <c r="L179" s="202">
        <v>100</v>
      </c>
      <c r="M179" s="202">
        <v>100</v>
      </c>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66"/>
    </row>
    <row r="180" spans="1:65" s="31" customFormat="1" ht="66.75" customHeight="1">
      <c r="A180" s="279"/>
      <c r="B180" s="306"/>
      <c r="C180" s="4" t="s">
        <v>867</v>
      </c>
      <c r="D180" s="4" t="s">
        <v>83</v>
      </c>
      <c r="E180" s="4" t="s">
        <v>347</v>
      </c>
      <c r="F180" s="120" t="s">
        <v>48</v>
      </c>
      <c r="G180" s="275"/>
      <c r="H180" s="281"/>
      <c r="I180" s="281"/>
      <c r="J180" s="202">
        <f>190-117.4-52.72643</f>
        <v>19.873569999999994</v>
      </c>
      <c r="K180" s="202">
        <f>190-117.4-52.72643</f>
        <v>19.873569999999994</v>
      </c>
      <c r="L180" s="202">
        <v>190</v>
      </c>
      <c r="M180" s="202">
        <v>190</v>
      </c>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66"/>
    </row>
    <row r="181" spans="1:65" s="31" customFormat="1" ht="172.5" customHeight="1">
      <c r="A181" s="4"/>
      <c r="B181" s="135" t="s">
        <v>394</v>
      </c>
      <c r="C181" s="4" t="s">
        <v>867</v>
      </c>
      <c r="D181" s="4" t="s">
        <v>83</v>
      </c>
      <c r="E181" s="4" t="s">
        <v>350</v>
      </c>
      <c r="F181" s="4" t="s">
        <v>48</v>
      </c>
      <c r="G181" s="34" t="s">
        <v>634</v>
      </c>
      <c r="H181" s="120" t="s">
        <v>635</v>
      </c>
      <c r="I181" s="4" t="s">
        <v>377</v>
      </c>
      <c r="J181" s="202">
        <f>60+18.069</f>
        <v>78.069</v>
      </c>
      <c r="K181" s="202">
        <f>60+18.069</f>
        <v>78.069</v>
      </c>
      <c r="L181" s="202">
        <v>60</v>
      </c>
      <c r="M181" s="202">
        <v>60</v>
      </c>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66"/>
    </row>
    <row r="182" spans="1:65" s="31" customFormat="1" ht="30" customHeight="1">
      <c r="A182" s="36"/>
      <c r="B182" s="15" t="s">
        <v>395</v>
      </c>
      <c r="C182" s="69"/>
      <c r="D182" s="4"/>
      <c r="E182" s="4" t="s">
        <v>100</v>
      </c>
      <c r="F182" s="69"/>
      <c r="G182" s="139"/>
      <c r="H182" s="139"/>
      <c r="I182" s="139"/>
      <c r="J182" s="201">
        <f>J183+J186+J185+J184</f>
        <v>11706.53703</v>
      </c>
      <c r="K182" s="201">
        <f>K183+K186+K185+K184</f>
        <v>11706.53703</v>
      </c>
      <c r="L182" s="201">
        <f>L183+L186+L185+L184</f>
        <v>2993.659</v>
      </c>
      <c r="M182" s="201">
        <f>M183+M186+M185+M184</f>
        <v>6789.42588</v>
      </c>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66"/>
    </row>
    <row r="183" spans="1:65" s="31" customFormat="1" ht="138.75" customHeight="1">
      <c r="A183" s="120"/>
      <c r="B183" s="135" t="s">
        <v>91</v>
      </c>
      <c r="C183" s="4" t="s">
        <v>867</v>
      </c>
      <c r="D183" s="4" t="s">
        <v>83</v>
      </c>
      <c r="E183" s="4" t="s">
        <v>342</v>
      </c>
      <c r="F183" s="4" t="s">
        <v>48</v>
      </c>
      <c r="G183" s="34" t="s">
        <v>636</v>
      </c>
      <c r="H183" s="120" t="s">
        <v>625</v>
      </c>
      <c r="I183" s="4" t="s">
        <v>377</v>
      </c>
      <c r="J183" s="202">
        <f>7499.156-3700+380+241.898</f>
        <v>4421.054</v>
      </c>
      <c r="K183" s="202">
        <f>7499.156-3700+380+241.898</f>
        <v>4421.054</v>
      </c>
      <c r="L183" s="202">
        <v>2993.659</v>
      </c>
      <c r="M183" s="202">
        <v>1750</v>
      </c>
      <c r="N183" s="33"/>
      <c r="O183" s="33"/>
      <c r="P183" s="138"/>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66"/>
    </row>
    <row r="184" spans="1:65" s="31" customFormat="1" ht="206.25" customHeight="1">
      <c r="A184" s="169"/>
      <c r="B184" s="135" t="s">
        <v>711</v>
      </c>
      <c r="C184" s="4" t="s">
        <v>867</v>
      </c>
      <c r="D184" s="120" t="s">
        <v>83</v>
      </c>
      <c r="E184" s="14" t="s">
        <v>574</v>
      </c>
      <c r="F184" s="4" t="s">
        <v>48</v>
      </c>
      <c r="G184" s="165" t="s">
        <v>637</v>
      </c>
      <c r="H184" s="244" t="s">
        <v>639</v>
      </c>
      <c r="I184" s="3" t="s">
        <v>638</v>
      </c>
      <c r="J184" s="201">
        <f>7400-380-729.30897</f>
        <v>6290.69103</v>
      </c>
      <c r="K184" s="202">
        <f>7400-380-729.30897</f>
        <v>6290.69103</v>
      </c>
      <c r="L184" s="202">
        <v>0</v>
      </c>
      <c r="M184" s="202">
        <v>0</v>
      </c>
      <c r="N184" s="33"/>
      <c r="O184" s="33"/>
      <c r="P184" s="138"/>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66"/>
    </row>
    <row r="185" spans="1:65" s="31" customFormat="1" ht="60" customHeight="1">
      <c r="A185" s="169"/>
      <c r="B185" s="16" t="s">
        <v>570</v>
      </c>
      <c r="C185" s="4" t="s">
        <v>867</v>
      </c>
      <c r="D185" s="4" t="s">
        <v>83</v>
      </c>
      <c r="E185" s="161" t="s">
        <v>571</v>
      </c>
      <c r="F185" s="4" t="s">
        <v>48</v>
      </c>
      <c r="G185" s="165" t="s">
        <v>739</v>
      </c>
      <c r="H185" s="169" t="s">
        <v>582</v>
      </c>
      <c r="I185" s="3" t="s">
        <v>590</v>
      </c>
      <c r="J185" s="202">
        <v>0</v>
      </c>
      <c r="K185" s="202">
        <v>0</v>
      </c>
      <c r="L185" s="202">
        <v>0</v>
      </c>
      <c r="M185" s="202">
        <f>6000-960.57412</f>
        <v>5039.42588</v>
      </c>
      <c r="N185" s="33"/>
      <c r="O185" s="33"/>
      <c r="P185" s="138"/>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66"/>
    </row>
    <row r="186" spans="1:65" s="31" customFormat="1" ht="146.25" customHeight="1">
      <c r="A186" s="3"/>
      <c r="B186" s="129" t="s">
        <v>92</v>
      </c>
      <c r="C186" s="4" t="s">
        <v>867</v>
      </c>
      <c r="D186" s="4" t="s">
        <v>83</v>
      </c>
      <c r="E186" s="120" t="s">
        <v>343</v>
      </c>
      <c r="F186" s="4" t="s">
        <v>48</v>
      </c>
      <c r="G186" s="110" t="s">
        <v>640</v>
      </c>
      <c r="H186" s="3" t="s">
        <v>641</v>
      </c>
      <c r="I186" s="3" t="s">
        <v>398</v>
      </c>
      <c r="J186" s="202">
        <f>494.792+500</f>
        <v>994.7919999999999</v>
      </c>
      <c r="K186" s="202">
        <f>494.792+500</f>
        <v>994.7919999999999</v>
      </c>
      <c r="L186" s="202">
        <v>0</v>
      </c>
      <c r="M186" s="202">
        <v>0</v>
      </c>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66"/>
    </row>
    <row r="187" spans="1:65" s="31" customFormat="1" ht="78" customHeight="1">
      <c r="A187" s="3"/>
      <c r="B187" s="129"/>
      <c r="C187" s="4"/>
      <c r="D187" s="4"/>
      <c r="E187" s="120" t="s">
        <v>78</v>
      </c>
      <c r="F187" s="4"/>
      <c r="G187" s="110"/>
      <c r="H187" s="3"/>
      <c r="I187" s="3"/>
      <c r="J187" s="202">
        <f>J188</f>
        <v>783.41021</v>
      </c>
      <c r="K187" s="202">
        <f>K188</f>
        <v>783.41021</v>
      </c>
      <c r="L187" s="202">
        <f>L188</f>
        <v>0</v>
      </c>
      <c r="M187" s="202">
        <f>M188</f>
        <v>0</v>
      </c>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66"/>
    </row>
    <row r="188" spans="1:65" s="31" customFormat="1" ht="66.75" customHeight="1">
      <c r="A188" s="3"/>
      <c r="B188" s="272" t="s">
        <v>1014</v>
      </c>
      <c r="C188" s="120" t="s">
        <v>867</v>
      </c>
      <c r="D188" s="120" t="s">
        <v>83</v>
      </c>
      <c r="E188" s="120" t="s">
        <v>1013</v>
      </c>
      <c r="F188" s="120" t="s">
        <v>48</v>
      </c>
      <c r="G188" s="265" t="s">
        <v>1015</v>
      </c>
      <c r="H188" s="120" t="s">
        <v>383</v>
      </c>
      <c r="I188" s="120" t="s">
        <v>1016</v>
      </c>
      <c r="J188" s="202">
        <v>783.41021</v>
      </c>
      <c r="K188" s="202">
        <v>783.41021</v>
      </c>
      <c r="L188" s="202">
        <v>0</v>
      </c>
      <c r="M188" s="202">
        <v>0</v>
      </c>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66"/>
    </row>
    <row r="189" spans="1:62" s="70" customFormat="1" ht="180" customHeight="1">
      <c r="A189" s="90" t="s">
        <v>201</v>
      </c>
      <c r="B189" s="92" t="s">
        <v>202</v>
      </c>
      <c r="C189" s="90"/>
      <c r="D189" s="90"/>
      <c r="E189" s="99"/>
      <c r="F189" s="99"/>
      <c r="G189" s="94"/>
      <c r="H189" s="90"/>
      <c r="I189" s="90"/>
      <c r="J189" s="200">
        <f aca="true" t="shared" si="7" ref="J189:M190">J190</f>
        <v>8675.836000000001</v>
      </c>
      <c r="K189" s="200">
        <f t="shared" si="7"/>
        <v>8675.836000000001</v>
      </c>
      <c r="L189" s="200">
        <f t="shared" si="7"/>
        <v>8449.173</v>
      </c>
      <c r="M189" s="200">
        <f t="shared" si="7"/>
        <v>8449.173</v>
      </c>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66"/>
      <c r="BJ189" s="31"/>
    </row>
    <row r="190" spans="1:65" s="31" customFormat="1" ht="30" customHeight="1">
      <c r="A190" s="4"/>
      <c r="B190" s="15" t="s">
        <v>379</v>
      </c>
      <c r="C190" s="69"/>
      <c r="D190" s="4"/>
      <c r="E190" s="4" t="s">
        <v>84</v>
      </c>
      <c r="F190" s="69"/>
      <c r="G190" s="140"/>
      <c r="H190" s="141"/>
      <c r="I190" s="141"/>
      <c r="J190" s="201">
        <f t="shared" si="7"/>
        <v>8675.836000000001</v>
      </c>
      <c r="K190" s="201">
        <f t="shared" si="7"/>
        <v>8675.836000000001</v>
      </c>
      <c r="L190" s="201">
        <f t="shared" si="7"/>
        <v>8449.173</v>
      </c>
      <c r="M190" s="201">
        <f t="shared" si="7"/>
        <v>8449.173</v>
      </c>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66"/>
    </row>
    <row r="191" spans="1:65" s="31" customFormat="1" ht="15" customHeight="1">
      <c r="A191" s="4"/>
      <c r="B191" s="10" t="s">
        <v>380</v>
      </c>
      <c r="C191" s="69"/>
      <c r="D191" s="4"/>
      <c r="E191" s="4" t="s">
        <v>102</v>
      </c>
      <c r="F191" s="69"/>
      <c r="G191" s="142"/>
      <c r="H191" s="143"/>
      <c r="I191" s="141"/>
      <c r="J191" s="201">
        <f>J192+J193</f>
        <v>8675.836000000001</v>
      </c>
      <c r="K191" s="201">
        <f>K192+K193</f>
        <v>8675.836000000001</v>
      </c>
      <c r="L191" s="201">
        <f>L192+L193</f>
        <v>8449.173</v>
      </c>
      <c r="M191" s="201">
        <f>M192+M193</f>
        <v>8449.173</v>
      </c>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66"/>
    </row>
    <row r="192" spans="1:65" s="31" customFormat="1" ht="182.25" customHeight="1">
      <c r="A192" s="7"/>
      <c r="B192" s="15" t="s">
        <v>121</v>
      </c>
      <c r="C192" s="4" t="s">
        <v>867</v>
      </c>
      <c r="D192" s="4" t="s">
        <v>83</v>
      </c>
      <c r="E192" s="4" t="s">
        <v>396</v>
      </c>
      <c r="F192" s="4" t="s">
        <v>48</v>
      </c>
      <c r="G192" s="105" t="s">
        <v>627</v>
      </c>
      <c r="H192" s="3" t="s">
        <v>622</v>
      </c>
      <c r="I192" s="3" t="s">
        <v>623</v>
      </c>
      <c r="J192" s="202">
        <v>8449.173</v>
      </c>
      <c r="K192" s="202">
        <f>J192</f>
        <v>8449.173</v>
      </c>
      <c r="L192" s="202">
        <f>K192</f>
        <v>8449.173</v>
      </c>
      <c r="M192" s="202">
        <f>L192</f>
        <v>8449.173</v>
      </c>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66"/>
    </row>
    <row r="193" spans="1:65" s="31" customFormat="1" ht="127.5" customHeight="1">
      <c r="A193" s="7"/>
      <c r="B193" s="135" t="s">
        <v>124</v>
      </c>
      <c r="C193" s="4" t="s">
        <v>867</v>
      </c>
      <c r="D193" s="4" t="s">
        <v>83</v>
      </c>
      <c r="E193" s="4" t="s">
        <v>539</v>
      </c>
      <c r="F193" s="4" t="s">
        <v>48</v>
      </c>
      <c r="G193" s="34" t="s">
        <v>624</v>
      </c>
      <c r="H193" s="120" t="s">
        <v>625</v>
      </c>
      <c r="I193" s="4" t="s">
        <v>377</v>
      </c>
      <c r="J193" s="202">
        <v>226.663</v>
      </c>
      <c r="K193" s="202">
        <v>226.663</v>
      </c>
      <c r="L193" s="202">
        <v>0</v>
      </c>
      <c r="M193" s="202">
        <v>0</v>
      </c>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66"/>
    </row>
    <row r="194" spans="1:62" s="70" customFormat="1" ht="90" customHeight="1">
      <c r="A194" s="90" t="s">
        <v>203</v>
      </c>
      <c r="B194" s="92" t="s">
        <v>204</v>
      </c>
      <c r="C194" s="90"/>
      <c r="D194" s="90"/>
      <c r="E194" s="99"/>
      <c r="F194" s="99"/>
      <c r="G194" s="94"/>
      <c r="H194" s="90"/>
      <c r="I194" s="90"/>
      <c r="J194" s="200">
        <f>J195+J205</f>
        <v>21020.01193</v>
      </c>
      <c r="K194" s="200">
        <f>K195+K205</f>
        <v>21020.01193</v>
      </c>
      <c r="L194" s="200">
        <f>L195+L205</f>
        <v>27731.45002</v>
      </c>
      <c r="M194" s="200">
        <f>M195+M205</f>
        <v>27731.45002</v>
      </c>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66"/>
      <c r="BJ194" s="31"/>
    </row>
    <row r="195" spans="1:62" s="81" customFormat="1" ht="30" customHeight="1">
      <c r="A195" s="4"/>
      <c r="B195" s="15" t="s">
        <v>337</v>
      </c>
      <c r="C195" s="69"/>
      <c r="D195" s="4"/>
      <c r="E195" s="4" t="s">
        <v>84</v>
      </c>
      <c r="F195" s="69"/>
      <c r="G195" s="34"/>
      <c r="H195" s="4"/>
      <c r="I195" s="4"/>
      <c r="J195" s="201">
        <f>J196+J203</f>
        <v>12552.063000000002</v>
      </c>
      <c r="K195" s="201">
        <f>K196+K203</f>
        <v>12552.063000000002</v>
      </c>
      <c r="L195" s="201">
        <f>L196+L203</f>
        <v>13392.95</v>
      </c>
      <c r="M195" s="201">
        <f>M196+M203</f>
        <v>13392.95</v>
      </c>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row>
    <row r="196" spans="1:13" ht="30" customHeight="1">
      <c r="A196" s="36"/>
      <c r="B196" s="15" t="s">
        <v>89</v>
      </c>
      <c r="C196" s="69"/>
      <c r="D196" s="4"/>
      <c r="E196" s="4" t="s">
        <v>101</v>
      </c>
      <c r="F196" s="69"/>
      <c r="G196" s="88"/>
      <c r="H196" s="88"/>
      <c r="I196" s="88"/>
      <c r="J196" s="201">
        <f>J197+J198+J199+J200+J201+J202</f>
        <v>12433.810000000001</v>
      </c>
      <c r="K196" s="201">
        <f>K197+K198+K199+K200+K201+K202</f>
        <v>12433.810000000001</v>
      </c>
      <c r="L196" s="201">
        <f>L197+L198+L199+L200+L201+L202</f>
        <v>13392.95</v>
      </c>
      <c r="M196" s="201">
        <f>M197+M198+M199+M200+M201+M202</f>
        <v>13392.95</v>
      </c>
    </row>
    <row r="197" spans="1:61" s="31" customFormat="1" ht="132.75" customHeight="1">
      <c r="A197" s="128"/>
      <c r="B197" s="124" t="s">
        <v>344</v>
      </c>
      <c r="C197" s="4" t="s">
        <v>867</v>
      </c>
      <c r="D197" s="3" t="s">
        <v>112</v>
      </c>
      <c r="E197" s="3" t="s">
        <v>347</v>
      </c>
      <c r="F197" s="3" t="s">
        <v>48</v>
      </c>
      <c r="G197" s="34" t="s">
        <v>633</v>
      </c>
      <c r="H197" s="53" t="s">
        <v>625</v>
      </c>
      <c r="I197" s="53" t="s">
        <v>393</v>
      </c>
      <c r="J197" s="254">
        <f>90-58.15</f>
        <v>31.85</v>
      </c>
      <c r="K197" s="232">
        <f>90-58.15</f>
        <v>31.85</v>
      </c>
      <c r="L197" s="232">
        <v>90</v>
      </c>
      <c r="M197" s="232">
        <v>90</v>
      </c>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66"/>
    </row>
    <row r="198" spans="1:61" s="31" customFormat="1" ht="189" customHeight="1">
      <c r="A198" s="3"/>
      <c r="B198" s="124" t="s">
        <v>346</v>
      </c>
      <c r="C198" s="3" t="s">
        <v>867</v>
      </c>
      <c r="D198" s="3" t="s">
        <v>112</v>
      </c>
      <c r="E198" s="3" t="s">
        <v>345</v>
      </c>
      <c r="F198" s="3" t="s">
        <v>48</v>
      </c>
      <c r="G198" s="264" t="s">
        <v>642</v>
      </c>
      <c r="H198" s="268" t="s">
        <v>643</v>
      </c>
      <c r="I198" s="262" t="s">
        <v>644</v>
      </c>
      <c r="J198" s="269">
        <f>12597.95-459.19</f>
        <v>12138.76</v>
      </c>
      <c r="K198" s="269">
        <f>12597.95-459.19</f>
        <v>12138.76</v>
      </c>
      <c r="L198" s="269">
        <v>12597.95</v>
      </c>
      <c r="M198" s="269">
        <v>12597.95</v>
      </c>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66"/>
    </row>
    <row r="199" spans="1:61" s="31" customFormat="1" ht="39.75" customHeight="1">
      <c r="A199" s="4"/>
      <c r="B199" s="11" t="s">
        <v>90</v>
      </c>
      <c r="C199" s="4" t="s">
        <v>867</v>
      </c>
      <c r="D199" s="4" t="s">
        <v>112</v>
      </c>
      <c r="E199" s="14" t="s">
        <v>348</v>
      </c>
      <c r="F199" s="4" t="s">
        <v>48</v>
      </c>
      <c r="G199" s="274" t="s">
        <v>634</v>
      </c>
      <c r="H199" s="326" t="s">
        <v>645</v>
      </c>
      <c r="I199" s="326" t="s">
        <v>399</v>
      </c>
      <c r="J199" s="202">
        <f>235-88-25</f>
        <v>122</v>
      </c>
      <c r="K199" s="202">
        <f>235-88-25</f>
        <v>122</v>
      </c>
      <c r="L199" s="202">
        <v>235</v>
      </c>
      <c r="M199" s="202">
        <v>235</v>
      </c>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66"/>
    </row>
    <row r="200" spans="1:61" s="31" customFormat="1" ht="39.75" customHeight="1">
      <c r="A200" s="4"/>
      <c r="B200" s="11" t="s">
        <v>352</v>
      </c>
      <c r="C200" s="4" t="s">
        <v>867</v>
      </c>
      <c r="D200" s="4" t="s">
        <v>112</v>
      </c>
      <c r="E200" s="14" t="s">
        <v>349</v>
      </c>
      <c r="F200" s="4" t="s">
        <v>48</v>
      </c>
      <c r="G200" s="289"/>
      <c r="H200" s="326"/>
      <c r="I200" s="326"/>
      <c r="J200" s="202">
        <f>60+10-4-10</f>
        <v>56</v>
      </c>
      <c r="K200" s="202">
        <f>60+10-4-10</f>
        <v>56</v>
      </c>
      <c r="L200" s="202">
        <f>60+10</f>
        <v>70</v>
      </c>
      <c r="M200" s="202">
        <f>60+10</f>
        <v>70</v>
      </c>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66"/>
    </row>
    <row r="201" spans="1:61" s="31" customFormat="1" ht="48" customHeight="1">
      <c r="A201" s="4"/>
      <c r="B201" s="11" t="s">
        <v>353</v>
      </c>
      <c r="C201" s="4" t="s">
        <v>867</v>
      </c>
      <c r="D201" s="4" t="s">
        <v>112</v>
      </c>
      <c r="E201" s="14" t="s">
        <v>350</v>
      </c>
      <c r="F201" s="4" t="s">
        <v>48</v>
      </c>
      <c r="G201" s="289"/>
      <c r="H201" s="326"/>
      <c r="I201" s="326"/>
      <c r="J201" s="202">
        <f>390-10-178.8-116</f>
        <v>85.19999999999999</v>
      </c>
      <c r="K201" s="202">
        <f>390-10-178.8-116</f>
        <v>85.19999999999999</v>
      </c>
      <c r="L201" s="202">
        <f>390-10</f>
        <v>380</v>
      </c>
      <c r="M201" s="202">
        <f>390-10</f>
        <v>380</v>
      </c>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66"/>
    </row>
    <row r="202" spans="1:61" s="31" customFormat="1" ht="39.75" customHeight="1">
      <c r="A202" s="4"/>
      <c r="B202" s="108" t="s">
        <v>354</v>
      </c>
      <c r="C202" s="4" t="s">
        <v>867</v>
      </c>
      <c r="D202" s="4" t="s">
        <v>112</v>
      </c>
      <c r="E202" s="14" t="s">
        <v>351</v>
      </c>
      <c r="F202" s="4" t="s">
        <v>48</v>
      </c>
      <c r="G202" s="275"/>
      <c r="H202" s="326"/>
      <c r="I202" s="326"/>
      <c r="J202" s="202">
        <v>0</v>
      </c>
      <c r="K202" s="202">
        <f>20-20</f>
        <v>0</v>
      </c>
      <c r="L202" s="202">
        <v>20</v>
      </c>
      <c r="M202" s="202">
        <v>20</v>
      </c>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66"/>
    </row>
    <row r="203" spans="1:61" s="31" customFormat="1" ht="30" customHeight="1">
      <c r="A203" s="4"/>
      <c r="B203" s="108" t="s">
        <v>341</v>
      </c>
      <c r="C203" s="4"/>
      <c r="D203" s="4"/>
      <c r="E203" s="14" t="s">
        <v>100</v>
      </c>
      <c r="F203" s="4"/>
      <c r="G203" s="34"/>
      <c r="H203" s="4"/>
      <c r="I203" s="4"/>
      <c r="J203" s="202">
        <f>J204</f>
        <v>118.253</v>
      </c>
      <c r="K203" s="202">
        <f>K204</f>
        <v>118.253</v>
      </c>
      <c r="L203" s="202">
        <f>L204</f>
        <v>0</v>
      </c>
      <c r="M203" s="202">
        <f>M204</f>
        <v>0</v>
      </c>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66"/>
    </row>
    <row r="204" spans="1:61" s="31" customFormat="1" ht="135.75" customHeight="1">
      <c r="A204" s="4"/>
      <c r="B204" s="108" t="s">
        <v>92</v>
      </c>
      <c r="C204" s="4" t="s">
        <v>867</v>
      </c>
      <c r="D204" s="4" t="s">
        <v>112</v>
      </c>
      <c r="E204" s="14" t="s">
        <v>343</v>
      </c>
      <c r="F204" s="4" t="s">
        <v>48</v>
      </c>
      <c r="G204" s="5" t="s">
        <v>636</v>
      </c>
      <c r="H204" s="13" t="s">
        <v>625</v>
      </c>
      <c r="I204" s="13" t="s">
        <v>398</v>
      </c>
      <c r="J204" s="207">
        <v>118.253</v>
      </c>
      <c r="K204" s="202">
        <v>118.253</v>
      </c>
      <c r="L204" s="202">
        <v>0</v>
      </c>
      <c r="M204" s="202">
        <v>0</v>
      </c>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66"/>
    </row>
    <row r="205" spans="1:61" s="31" customFormat="1" ht="43.5" customHeight="1">
      <c r="A205" s="4"/>
      <c r="B205" s="11" t="s">
        <v>302</v>
      </c>
      <c r="C205" s="4"/>
      <c r="D205" s="4"/>
      <c r="E205" s="191" t="s">
        <v>66</v>
      </c>
      <c r="F205" s="4"/>
      <c r="G205" s="5"/>
      <c r="H205" s="13"/>
      <c r="I205" s="13"/>
      <c r="J205" s="203">
        <f aca="true" t="shared" si="8" ref="J205:M206">J206</f>
        <v>8467.94893</v>
      </c>
      <c r="K205" s="201">
        <f t="shared" si="8"/>
        <v>8467.94893</v>
      </c>
      <c r="L205" s="203">
        <f t="shared" si="8"/>
        <v>14338.50002</v>
      </c>
      <c r="M205" s="203">
        <f t="shared" si="8"/>
        <v>14338.50002</v>
      </c>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66"/>
    </row>
    <row r="206" spans="1:61" s="31" customFormat="1" ht="36" customHeight="1">
      <c r="A206" s="4"/>
      <c r="B206" s="16" t="s">
        <v>772</v>
      </c>
      <c r="C206" s="4"/>
      <c r="D206" s="4"/>
      <c r="E206" s="191" t="s">
        <v>67</v>
      </c>
      <c r="F206" s="4"/>
      <c r="G206" s="5"/>
      <c r="H206" s="13"/>
      <c r="I206" s="13"/>
      <c r="J206" s="203">
        <f t="shared" si="8"/>
        <v>8467.94893</v>
      </c>
      <c r="K206" s="201">
        <f t="shared" si="8"/>
        <v>8467.94893</v>
      </c>
      <c r="L206" s="203">
        <f t="shared" si="8"/>
        <v>14338.50002</v>
      </c>
      <c r="M206" s="203">
        <f t="shared" si="8"/>
        <v>14338.50002</v>
      </c>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66"/>
    </row>
    <row r="207" spans="1:61" s="31" customFormat="1" ht="35.25" customHeight="1">
      <c r="A207" s="4"/>
      <c r="B207" s="16" t="s">
        <v>773</v>
      </c>
      <c r="C207" s="4" t="s">
        <v>867</v>
      </c>
      <c r="D207" s="4" t="s">
        <v>112</v>
      </c>
      <c r="E207" s="191" t="s">
        <v>934</v>
      </c>
      <c r="F207" s="4" t="s">
        <v>340</v>
      </c>
      <c r="G207" s="240"/>
      <c r="H207" s="241"/>
      <c r="I207" s="13"/>
      <c r="J207" s="207">
        <f>14338.5-1668.97341-515.0602-648.89453-3037.62293</f>
        <v>8467.94893</v>
      </c>
      <c r="K207" s="207">
        <f>14338.5-1668.97341-515.0602-648.89453-3037.62293</f>
        <v>8467.94893</v>
      </c>
      <c r="L207" s="207">
        <f>14338.5+0.00002</f>
        <v>14338.50002</v>
      </c>
      <c r="M207" s="207">
        <f>14338.5+0.00002</f>
        <v>14338.50002</v>
      </c>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66"/>
    </row>
    <row r="208" spans="1:62" s="70" customFormat="1" ht="63.75" customHeight="1">
      <c r="A208" s="90" t="s">
        <v>205</v>
      </c>
      <c r="B208" s="92" t="s">
        <v>206</v>
      </c>
      <c r="C208" s="90"/>
      <c r="D208" s="90"/>
      <c r="E208" s="99"/>
      <c r="F208" s="99"/>
      <c r="G208" s="94"/>
      <c r="H208" s="90"/>
      <c r="I208" s="90"/>
      <c r="J208" s="200">
        <f aca="true" t="shared" si="9" ref="J208:M210">J209</f>
        <v>0</v>
      </c>
      <c r="K208" s="200">
        <f t="shared" si="9"/>
        <v>0</v>
      </c>
      <c r="L208" s="200">
        <f t="shared" si="9"/>
        <v>0</v>
      </c>
      <c r="M208" s="200">
        <f t="shared" si="9"/>
        <v>0</v>
      </c>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66"/>
      <c r="BJ208" s="31"/>
    </row>
    <row r="209" spans="1:62" s="70" customFormat="1" ht="30" customHeight="1">
      <c r="A209" s="4"/>
      <c r="B209" s="15" t="s">
        <v>337</v>
      </c>
      <c r="C209" s="69"/>
      <c r="D209" s="4"/>
      <c r="E209" s="4" t="s">
        <v>84</v>
      </c>
      <c r="F209" s="69"/>
      <c r="G209" s="34"/>
      <c r="H209" s="4"/>
      <c r="I209" s="4"/>
      <c r="J209" s="201">
        <f t="shared" si="9"/>
        <v>0</v>
      </c>
      <c r="K209" s="201">
        <f t="shared" si="9"/>
        <v>0</v>
      </c>
      <c r="L209" s="201">
        <f t="shared" si="9"/>
        <v>0</v>
      </c>
      <c r="M209" s="201">
        <f t="shared" si="9"/>
        <v>0</v>
      </c>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66"/>
      <c r="BJ209" s="31"/>
    </row>
    <row r="210" spans="1:62" s="70" customFormat="1" ht="15" customHeight="1">
      <c r="A210" s="4"/>
      <c r="B210" s="10" t="s">
        <v>338</v>
      </c>
      <c r="C210" s="69"/>
      <c r="D210" s="4"/>
      <c r="E210" s="4" t="s">
        <v>102</v>
      </c>
      <c r="F210" s="69"/>
      <c r="G210" s="34"/>
      <c r="H210" s="4"/>
      <c r="I210" s="4"/>
      <c r="J210" s="201">
        <f t="shared" si="9"/>
        <v>0</v>
      </c>
      <c r="K210" s="201">
        <f t="shared" si="9"/>
        <v>0</v>
      </c>
      <c r="L210" s="201">
        <f t="shared" si="9"/>
        <v>0</v>
      </c>
      <c r="M210" s="201">
        <f t="shared" si="9"/>
        <v>0</v>
      </c>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66"/>
      <c r="BJ210" s="31"/>
    </row>
    <row r="211" spans="1:61" s="31" customFormat="1" ht="157.5" customHeight="1">
      <c r="A211" s="278"/>
      <c r="B211" s="304" t="s">
        <v>95</v>
      </c>
      <c r="C211" s="276" t="s">
        <v>867</v>
      </c>
      <c r="D211" s="278" t="s">
        <v>49</v>
      </c>
      <c r="E211" s="278" t="s">
        <v>355</v>
      </c>
      <c r="F211" s="278" t="s">
        <v>48</v>
      </c>
      <c r="G211" s="171" t="s">
        <v>646</v>
      </c>
      <c r="H211" s="63" t="s">
        <v>397</v>
      </c>
      <c r="I211" s="120" t="s">
        <v>647</v>
      </c>
      <c r="J211" s="369">
        <v>0</v>
      </c>
      <c r="K211" s="369">
        <v>0</v>
      </c>
      <c r="L211" s="369">
        <v>0</v>
      </c>
      <c r="M211" s="369">
        <v>0</v>
      </c>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66"/>
    </row>
    <row r="212" spans="1:13" s="33" customFormat="1" ht="60" customHeight="1">
      <c r="A212" s="287"/>
      <c r="B212" s="305"/>
      <c r="C212" s="299"/>
      <c r="D212" s="287"/>
      <c r="E212" s="287"/>
      <c r="F212" s="287"/>
      <c r="G212" s="171" t="s">
        <v>109</v>
      </c>
      <c r="H212" s="6" t="s">
        <v>110</v>
      </c>
      <c r="I212" s="120" t="s">
        <v>108</v>
      </c>
      <c r="J212" s="381"/>
      <c r="K212" s="381"/>
      <c r="L212" s="381"/>
      <c r="M212" s="381"/>
    </row>
    <row r="213" spans="1:13" s="33" customFormat="1" ht="87" customHeight="1">
      <c r="A213" s="279"/>
      <c r="B213" s="306"/>
      <c r="C213" s="277"/>
      <c r="D213" s="279"/>
      <c r="E213" s="279"/>
      <c r="F213" s="279"/>
      <c r="G213" s="171" t="s">
        <v>97</v>
      </c>
      <c r="H213" s="6" t="s">
        <v>111</v>
      </c>
      <c r="I213" s="120" t="s">
        <v>106</v>
      </c>
      <c r="J213" s="370"/>
      <c r="K213" s="370"/>
      <c r="L213" s="370"/>
      <c r="M213" s="370"/>
    </row>
    <row r="214" spans="1:62" s="70" customFormat="1" ht="105" customHeight="1">
      <c r="A214" s="90" t="s">
        <v>207</v>
      </c>
      <c r="B214" s="92" t="s">
        <v>208</v>
      </c>
      <c r="C214" s="90"/>
      <c r="D214" s="90"/>
      <c r="E214" s="99"/>
      <c r="F214" s="99"/>
      <c r="G214" s="94"/>
      <c r="H214" s="90"/>
      <c r="I214" s="90"/>
      <c r="J214" s="200">
        <f>J215</f>
        <v>5702.611000000001</v>
      </c>
      <c r="K214" s="200">
        <f>K215</f>
        <v>5702.611000000001</v>
      </c>
      <c r="L214" s="200">
        <f>L215</f>
        <v>6106.037</v>
      </c>
      <c r="M214" s="200">
        <f>M215</f>
        <v>6106.037</v>
      </c>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66"/>
      <c r="BJ214" s="31"/>
    </row>
    <row r="215" spans="2:65" s="28" customFormat="1" ht="30" customHeight="1">
      <c r="B215" s="16" t="s">
        <v>379</v>
      </c>
      <c r="C215" s="4"/>
      <c r="D215" s="4"/>
      <c r="E215" s="4" t="s">
        <v>84</v>
      </c>
      <c r="G215" s="132"/>
      <c r="H215" s="132"/>
      <c r="I215" s="132"/>
      <c r="J215" s="201">
        <f>J216+J221</f>
        <v>5702.611000000001</v>
      </c>
      <c r="K215" s="201">
        <f>K216+K221</f>
        <v>5702.611000000001</v>
      </c>
      <c r="L215" s="201">
        <f>L216+L221</f>
        <v>6106.037</v>
      </c>
      <c r="M215" s="201">
        <f>M216+M221</f>
        <v>6106.037</v>
      </c>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c r="AO215" s="133"/>
      <c r="AP215" s="133"/>
      <c r="AQ215" s="133"/>
      <c r="AR215" s="133"/>
      <c r="AS215" s="133"/>
      <c r="AT215" s="133"/>
      <c r="AU215" s="133"/>
      <c r="AV215" s="133"/>
      <c r="AW215" s="133"/>
      <c r="AX215" s="133"/>
      <c r="AY215" s="133"/>
      <c r="AZ215" s="133"/>
      <c r="BA215" s="133"/>
      <c r="BB215" s="133"/>
      <c r="BC215" s="133"/>
      <c r="BD215" s="133"/>
      <c r="BE215" s="133"/>
      <c r="BF215" s="133"/>
      <c r="BG215" s="133"/>
      <c r="BH215" s="133"/>
      <c r="BI215" s="133"/>
      <c r="BJ215" s="133"/>
      <c r="BK215" s="133"/>
      <c r="BL215" s="133"/>
      <c r="BM215" s="134"/>
    </row>
    <row r="216" spans="2:65" s="28" customFormat="1" ht="15" customHeight="1">
      <c r="B216" s="16" t="s">
        <v>380</v>
      </c>
      <c r="C216" s="4"/>
      <c r="D216" s="4"/>
      <c r="E216" s="4" t="s">
        <v>102</v>
      </c>
      <c r="G216" s="132"/>
      <c r="H216" s="132"/>
      <c r="I216" s="132"/>
      <c r="J216" s="201">
        <f>J219+J217+J218+J220</f>
        <v>5694.707</v>
      </c>
      <c r="K216" s="201">
        <f>K219+K217+K218+K220</f>
        <v>5694.707</v>
      </c>
      <c r="L216" s="201">
        <f>L219+L217+L218+L220</f>
        <v>6098.133</v>
      </c>
      <c r="M216" s="201">
        <f>M219+M217+M218+M220</f>
        <v>6098.133</v>
      </c>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33"/>
      <c r="BE216" s="133"/>
      <c r="BF216" s="133"/>
      <c r="BG216" s="133"/>
      <c r="BH216" s="133"/>
      <c r="BI216" s="133"/>
      <c r="BJ216" s="133"/>
      <c r="BK216" s="133"/>
      <c r="BL216" s="133"/>
      <c r="BM216" s="134"/>
    </row>
    <row r="217" spans="1:64" ht="42.75" customHeight="1">
      <c r="A217" s="276"/>
      <c r="B217" s="304" t="s">
        <v>60</v>
      </c>
      <c r="C217" s="4" t="s">
        <v>867</v>
      </c>
      <c r="D217" s="4" t="s">
        <v>13</v>
      </c>
      <c r="E217" s="4" t="s">
        <v>390</v>
      </c>
      <c r="F217" s="4" t="s">
        <v>44</v>
      </c>
      <c r="G217" s="293" t="s">
        <v>632</v>
      </c>
      <c r="H217" s="278" t="s">
        <v>382</v>
      </c>
      <c r="I217" s="278" t="s">
        <v>391</v>
      </c>
      <c r="J217" s="202">
        <f>150+150+50-89.62</f>
        <v>260.38</v>
      </c>
      <c r="K217" s="202">
        <f>150+150+50-89.62</f>
        <v>260.38</v>
      </c>
      <c r="L217" s="202">
        <f>300-19.6+50</f>
        <v>330.4</v>
      </c>
      <c r="M217" s="202">
        <f>300-19.6+50</f>
        <v>330.4</v>
      </c>
      <c r="BI217" s="33"/>
      <c r="BJ217" s="33"/>
      <c r="BK217" s="33"/>
      <c r="BL217" s="33"/>
    </row>
    <row r="218" spans="1:64" ht="42.75" customHeight="1">
      <c r="A218" s="277"/>
      <c r="B218" s="306"/>
      <c r="C218" s="4" t="s">
        <v>867</v>
      </c>
      <c r="D218" s="4" t="s">
        <v>13</v>
      </c>
      <c r="E218" s="4" t="s">
        <v>390</v>
      </c>
      <c r="F218" s="4" t="s">
        <v>48</v>
      </c>
      <c r="G218" s="325"/>
      <c r="H218" s="279"/>
      <c r="I218" s="279"/>
      <c r="J218" s="202">
        <f>710-150-230.346</f>
        <v>329.654</v>
      </c>
      <c r="K218" s="202">
        <f>J218</f>
        <v>329.654</v>
      </c>
      <c r="L218" s="202">
        <v>560</v>
      </c>
      <c r="M218" s="202">
        <v>560</v>
      </c>
      <c r="BI218" s="33"/>
      <c r="BJ218" s="33"/>
      <c r="BK218" s="33"/>
      <c r="BL218" s="33"/>
    </row>
    <row r="219" spans="1:13" s="35" customFormat="1" ht="181.5" customHeight="1">
      <c r="A219" s="4"/>
      <c r="B219" s="15" t="s">
        <v>712</v>
      </c>
      <c r="C219" s="4" t="s">
        <v>867</v>
      </c>
      <c r="D219" s="4" t="s">
        <v>13</v>
      </c>
      <c r="E219" s="4" t="s">
        <v>542</v>
      </c>
      <c r="F219" s="4" t="s">
        <v>48</v>
      </c>
      <c r="G219" s="34" t="s">
        <v>648</v>
      </c>
      <c r="H219" s="120" t="s">
        <v>649</v>
      </c>
      <c r="I219" s="7" t="s">
        <v>650</v>
      </c>
      <c r="J219" s="202">
        <f>5207.733-133.82</f>
        <v>5073.9130000000005</v>
      </c>
      <c r="K219" s="202">
        <f>J219</f>
        <v>5073.9130000000005</v>
      </c>
      <c r="L219" s="202">
        <v>5207.733</v>
      </c>
      <c r="M219" s="202">
        <v>5207.733</v>
      </c>
    </row>
    <row r="220" spans="1:65" s="31" customFormat="1" ht="131.25" customHeight="1">
      <c r="A220" s="6"/>
      <c r="B220" s="15" t="s">
        <v>124</v>
      </c>
      <c r="C220" s="4" t="s">
        <v>867</v>
      </c>
      <c r="D220" s="4" t="s">
        <v>13</v>
      </c>
      <c r="E220" s="4" t="s">
        <v>539</v>
      </c>
      <c r="F220" s="4" t="s">
        <v>48</v>
      </c>
      <c r="G220" s="5" t="s">
        <v>624</v>
      </c>
      <c r="H220" s="103" t="s">
        <v>382</v>
      </c>
      <c r="I220" s="119" t="s">
        <v>391</v>
      </c>
      <c r="J220" s="202">
        <v>30.76</v>
      </c>
      <c r="K220" s="202">
        <f>J220</f>
        <v>30.76</v>
      </c>
      <c r="L220" s="202">
        <v>0</v>
      </c>
      <c r="M220" s="202">
        <f>L220</f>
        <v>0</v>
      </c>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66"/>
    </row>
    <row r="221" spans="1:65" s="137" customFormat="1" ht="30" customHeight="1">
      <c r="A221" s="88"/>
      <c r="B221" s="15" t="s">
        <v>395</v>
      </c>
      <c r="C221" s="69"/>
      <c r="D221" s="4"/>
      <c r="E221" s="4" t="s">
        <v>100</v>
      </c>
      <c r="F221" s="69"/>
      <c r="G221" s="139"/>
      <c r="H221" s="139"/>
      <c r="I221" s="139"/>
      <c r="J221" s="201">
        <f>J222</f>
        <v>7.904</v>
      </c>
      <c r="K221" s="201">
        <f>K222</f>
        <v>7.904</v>
      </c>
      <c r="L221" s="201">
        <f>L222</f>
        <v>7.904</v>
      </c>
      <c r="M221" s="201">
        <f>M222</f>
        <v>7.904</v>
      </c>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c r="AX221" s="79"/>
      <c r="AY221" s="79"/>
      <c r="AZ221" s="79"/>
      <c r="BA221" s="79"/>
      <c r="BB221" s="79"/>
      <c r="BC221" s="79"/>
      <c r="BD221" s="79"/>
      <c r="BE221" s="79"/>
      <c r="BF221" s="79"/>
      <c r="BG221" s="79"/>
      <c r="BH221" s="79"/>
      <c r="BI221" s="79"/>
      <c r="BJ221" s="79"/>
      <c r="BK221" s="79"/>
      <c r="BL221" s="79"/>
      <c r="BM221" s="136"/>
    </row>
    <row r="222" spans="1:65" s="31" customFormat="1" ht="145.5" customHeight="1">
      <c r="A222" s="6"/>
      <c r="B222" s="15" t="s">
        <v>92</v>
      </c>
      <c r="C222" s="4" t="s">
        <v>867</v>
      </c>
      <c r="D222" s="120" t="s">
        <v>13</v>
      </c>
      <c r="E222" s="120" t="s">
        <v>343</v>
      </c>
      <c r="F222" s="4" t="s">
        <v>48</v>
      </c>
      <c r="G222" s="5" t="s">
        <v>651</v>
      </c>
      <c r="H222" s="3" t="s">
        <v>382</v>
      </c>
      <c r="I222" s="119" t="s">
        <v>391</v>
      </c>
      <c r="J222" s="202">
        <v>7.904</v>
      </c>
      <c r="K222" s="202">
        <f>J222</f>
        <v>7.904</v>
      </c>
      <c r="L222" s="202">
        <f>K222</f>
        <v>7.904</v>
      </c>
      <c r="M222" s="202">
        <f>L222</f>
        <v>7.904</v>
      </c>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66"/>
    </row>
    <row r="223" spans="1:60" s="71" customFormat="1" ht="45" customHeight="1">
      <c r="A223" s="90" t="s">
        <v>212</v>
      </c>
      <c r="B223" s="92" t="s">
        <v>211</v>
      </c>
      <c r="C223" s="99"/>
      <c r="D223" s="90"/>
      <c r="E223" s="99"/>
      <c r="F223" s="99"/>
      <c r="G223" s="94"/>
      <c r="H223" s="90"/>
      <c r="I223" s="90"/>
      <c r="J223" s="200">
        <f>J224</f>
        <v>12997.23277</v>
      </c>
      <c r="K223" s="200">
        <f>K224</f>
        <v>12997.23277</v>
      </c>
      <c r="L223" s="200">
        <f>L224</f>
        <v>13011.04239</v>
      </c>
      <c r="M223" s="200">
        <f>M224</f>
        <v>13011.04239</v>
      </c>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81"/>
      <c r="AX223" s="81"/>
      <c r="AY223" s="81"/>
      <c r="AZ223" s="81"/>
      <c r="BA223" s="81"/>
      <c r="BB223" s="81"/>
      <c r="BC223" s="81"/>
      <c r="BD223" s="81"/>
      <c r="BE223" s="81"/>
      <c r="BF223" s="81"/>
      <c r="BG223" s="81"/>
      <c r="BH223" s="81"/>
    </row>
    <row r="224" spans="2:61" s="73" customFormat="1" ht="30" customHeight="1">
      <c r="B224" s="74" t="s">
        <v>326</v>
      </c>
      <c r="C224" s="16"/>
      <c r="D224" s="4"/>
      <c r="E224" s="120" t="s">
        <v>65</v>
      </c>
      <c r="F224" s="16"/>
      <c r="J224" s="201">
        <f>J226+J225+J227+J228</f>
        <v>12997.23277</v>
      </c>
      <c r="K224" s="201">
        <f>K226+K225+K227+K228</f>
        <v>12997.23277</v>
      </c>
      <c r="L224" s="201">
        <f>L226+L225+L227+L228</f>
        <v>13011.04239</v>
      </c>
      <c r="M224" s="201">
        <f>M226+M225+M227+M228</f>
        <v>13011.04239</v>
      </c>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c r="BI224" s="76"/>
    </row>
    <row r="225" spans="1:61" s="73" customFormat="1" ht="171" customHeight="1">
      <c r="A225" s="126"/>
      <c r="B225" s="69" t="s">
        <v>329</v>
      </c>
      <c r="C225" s="4" t="s">
        <v>867</v>
      </c>
      <c r="D225" s="4" t="s">
        <v>94</v>
      </c>
      <c r="E225" s="87" t="s">
        <v>328</v>
      </c>
      <c r="F225" s="4" t="s">
        <v>48</v>
      </c>
      <c r="G225" s="167" t="s">
        <v>607</v>
      </c>
      <c r="H225" s="169" t="s">
        <v>136</v>
      </c>
      <c r="I225" s="64" t="s">
        <v>137</v>
      </c>
      <c r="J225" s="202">
        <f>12680.44239-263.9159</f>
        <v>12416.52649</v>
      </c>
      <c r="K225" s="202">
        <f>12680.44239-263.9159</f>
        <v>12416.52649</v>
      </c>
      <c r="L225" s="202">
        <v>12680.44239</v>
      </c>
      <c r="M225" s="202">
        <v>12680.44239</v>
      </c>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c r="BI225" s="76"/>
    </row>
    <row r="226" spans="2:61" s="73" customFormat="1" ht="36.75" customHeight="1">
      <c r="B226" s="16" t="s">
        <v>93</v>
      </c>
      <c r="C226" s="4" t="s">
        <v>867</v>
      </c>
      <c r="D226" s="87" t="s">
        <v>94</v>
      </c>
      <c r="E226" s="87" t="s">
        <v>718</v>
      </c>
      <c r="F226" s="89">
        <v>610</v>
      </c>
      <c r="G226" s="383" t="s">
        <v>609</v>
      </c>
      <c r="H226" s="371" t="s">
        <v>401</v>
      </c>
      <c r="I226" s="295" t="s">
        <v>229</v>
      </c>
      <c r="J226" s="235">
        <v>300</v>
      </c>
      <c r="K226" s="237">
        <v>300</v>
      </c>
      <c r="L226" s="235">
        <v>300</v>
      </c>
      <c r="M226" s="235">
        <v>300</v>
      </c>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76"/>
    </row>
    <row r="227" spans="1:61" s="73" customFormat="1" ht="33.75" customHeight="1">
      <c r="A227" s="125"/>
      <c r="B227" s="123" t="s">
        <v>330</v>
      </c>
      <c r="C227" s="4" t="s">
        <v>867</v>
      </c>
      <c r="D227" s="4" t="s">
        <v>94</v>
      </c>
      <c r="E227" s="87" t="s">
        <v>719</v>
      </c>
      <c r="F227" s="4" t="s">
        <v>48</v>
      </c>
      <c r="G227" s="384"/>
      <c r="H227" s="372"/>
      <c r="I227" s="310"/>
      <c r="J227" s="233">
        <f>30.6-20</f>
        <v>10.600000000000001</v>
      </c>
      <c r="K227" s="233">
        <f>30.6-20</f>
        <v>10.600000000000001</v>
      </c>
      <c r="L227" s="233">
        <v>30.6</v>
      </c>
      <c r="M227" s="233">
        <v>30.6</v>
      </c>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c r="BI227" s="76"/>
    </row>
    <row r="228" spans="1:13" s="82" customFormat="1" ht="33.75" customHeight="1">
      <c r="A228" s="125"/>
      <c r="B228" s="11" t="s">
        <v>810</v>
      </c>
      <c r="C228" s="4" t="s">
        <v>867</v>
      </c>
      <c r="D228" s="4" t="s">
        <v>94</v>
      </c>
      <c r="E228" s="87" t="s">
        <v>811</v>
      </c>
      <c r="F228" s="4" t="s">
        <v>48</v>
      </c>
      <c r="G228" s="385"/>
      <c r="H228" s="373"/>
      <c r="I228" s="311"/>
      <c r="J228" s="233">
        <f>207.59128+62.515</f>
        <v>270.10628</v>
      </c>
      <c r="K228" s="238">
        <f>207.59128+62.515</f>
        <v>270.10628</v>
      </c>
      <c r="L228" s="233">
        <v>0</v>
      </c>
      <c r="M228" s="233">
        <v>0</v>
      </c>
    </row>
    <row r="229" spans="1:60" s="71" customFormat="1" ht="45" customHeight="1">
      <c r="A229" s="90" t="s">
        <v>214</v>
      </c>
      <c r="B229" s="92" t="s">
        <v>213</v>
      </c>
      <c r="C229" s="99"/>
      <c r="D229" s="90"/>
      <c r="E229" s="99"/>
      <c r="F229" s="99"/>
      <c r="G229" s="94"/>
      <c r="H229" s="90"/>
      <c r="I229" s="90"/>
      <c r="J229" s="200">
        <f>J230</f>
        <v>71412.33583999999</v>
      </c>
      <c r="K229" s="200">
        <f>K230</f>
        <v>71412.33583999999</v>
      </c>
      <c r="L229" s="200">
        <f>L230</f>
        <v>55446.109399999994</v>
      </c>
      <c r="M229" s="200">
        <f>M230</f>
        <v>70329.6094</v>
      </c>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1" s="72" customFormat="1" ht="30" customHeight="1">
      <c r="A230" s="120"/>
      <c r="B230" s="54" t="s">
        <v>326</v>
      </c>
      <c r="C230" s="69"/>
      <c r="D230" s="4"/>
      <c r="E230" s="4" t="s">
        <v>65</v>
      </c>
      <c r="F230" s="69"/>
      <c r="G230" s="53"/>
      <c r="H230" s="120"/>
      <c r="I230" s="120"/>
      <c r="J230" s="201">
        <f>J239+J247+J245+J246+J248+J231+J249+J253+J250+J251+J252</f>
        <v>71412.33583999999</v>
      </c>
      <c r="K230" s="201">
        <f>K239+K247+K245+K246+K248+K231+K249+K253+K250+K251+K252</f>
        <v>71412.33583999999</v>
      </c>
      <c r="L230" s="201">
        <f>L239+L247+L245+L246+L248+L231+L249+L253+L250</f>
        <v>55446.109399999994</v>
      </c>
      <c r="M230" s="201">
        <f>M239+M247+M245+M246+M248+M231+M249+M253+M250</f>
        <v>70329.6094</v>
      </c>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77"/>
    </row>
    <row r="231" spans="1:61" s="31" customFormat="1" ht="30" customHeight="1">
      <c r="A231" s="4"/>
      <c r="B231" s="127" t="s">
        <v>331</v>
      </c>
      <c r="C231" s="103"/>
      <c r="D231" s="3"/>
      <c r="E231" s="4" t="s">
        <v>713</v>
      </c>
      <c r="F231" s="103"/>
      <c r="G231" s="55"/>
      <c r="H231" s="4"/>
      <c r="I231" s="4"/>
      <c r="J231" s="210">
        <f>J232+J234+J236+J238+J237</f>
        <v>16013.8635</v>
      </c>
      <c r="K231" s="210">
        <f>K232+K234+K236+K238+K237</f>
        <v>16013.8635</v>
      </c>
      <c r="L231" s="210">
        <f>L232+L234+L236+L238+L237</f>
        <v>16342.6</v>
      </c>
      <c r="M231" s="210">
        <f>M232+M234+M236+M238+M237</f>
        <v>16342.6</v>
      </c>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66"/>
    </row>
    <row r="232" spans="1:61" s="31" customFormat="1" ht="170.25" customHeight="1">
      <c r="A232" s="278"/>
      <c r="B232" s="331" t="s">
        <v>565</v>
      </c>
      <c r="C232" s="278" t="s">
        <v>867</v>
      </c>
      <c r="D232" s="278" t="s">
        <v>94</v>
      </c>
      <c r="E232" s="278" t="s">
        <v>714</v>
      </c>
      <c r="F232" s="278" t="s">
        <v>48</v>
      </c>
      <c r="G232" s="5" t="s">
        <v>607</v>
      </c>
      <c r="H232" s="6" t="s">
        <v>50</v>
      </c>
      <c r="I232" s="120" t="s">
        <v>229</v>
      </c>
      <c r="J232" s="369">
        <f>14776-372.8735</f>
        <v>14403.1265</v>
      </c>
      <c r="K232" s="369">
        <f>14776-372.8735</f>
        <v>14403.1265</v>
      </c>
      <c r="L232" s="369">
        <v>14776</v>
      </c>
      <c r="M232" s="369">
        <v>14776</v>
      </c>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66"/>
    </row>
    <row r="233" spans="1:61" s="31" customFormat="1" ht="77.25" customHeight="1">
      <c r="A233" s="279"/>
      <c r="B233" s="338"/>
      <c r="C233" s="279"/>
      <c r="D233" s="279"/>
      <c r="E233" s="279"/>
      <c r="F233" s="279"/>
      <c r="G233" s="5" t="s">
        <v>608</v>
      </c>
      <c r="H233" s="6" t="s">
        <v>50</v>
      </c>
      <c r="I233" s="120" t="s">
        <v>229</v>
      </c>
      <c r="J233" s="370"/>
      <c r="K233" s="370"/>
      <c r="L233" s="344"/>
      <c r="M233" s="344"/>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66"/>
    </row>
    <row r="234" spans="1:61" s="31" customFormat="1" ht="162.75" customHeight="1">
      <c r="A234" s="278"/>
      <c r="B234" s="331" t="s">
        <v>566</v>
      </c>
      <c r="C234" s="278" t="s">
        <v>867</v>
      </c>
      <c r="D234" s="278" t="s">
        <v>94</v>
      </c>
      <c r="E234" s="278" t="s">
        <v>715</v>
      </c>
      <c r="F234" s="278" t="s">
        <v>48</v>
      </c>
      <c r="G234" s="185" t="s">
        <v>607</v>
      </c>
      <c r="H234" s="6" t="s">
        <v>50</v>
      </c>
      <c r="I234" s="120" t="s">
        <v>229</v>
      </c>
      <c r="J234" s="369">
        <f>1116.6-20.013</f>
        <v>1096.587</v>
      </c>
      <c r="K234" s="369">
        <f>1116.6-20.013</f>
        <v>1096.587</v>
      </c>
      <c r="L234" s="369">
        <v>1116.6</v>
      </c>
      <c r="M234" s="369">
        <v>1116.6</v>
      </c>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66"/>
    </row>
    <row r="235" spans="1:61" s="31" customFormat="1" ht="74.25" customHeight="1">
      <c r="A235" s="279"/>
      <c r="B235" s="338"/>
      <c r="C235" s="279"/>
      <c r="D235" s="279"/>
      <c r="E235" s="279"/>
      <c r="F235" s="279"/>
      <c r="G235" s="171" t="s">
        <v>608</v>
      </c>
      <c r="H235" s="6" t="s">
        <v>50</v>
      </c>
      <c r="I235" s="4" t="s">
        <v>229</v>
      </c>
      <c r="J235" s="370"/>
      <c r="K235" s="370"/>
      <c r="L235" s="344"/>
      <c r="M235" s="344"/>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66"/>
    </row>
    <row r="236" spans="1:61" s="31" customFormat="1" ht="21.75" customHeight="1">
      <c r="A236" s="4"/>
      <c r="B236" s="16" t="s">
        <v>131</v>
      </c>
      <c r="C236" s="4" t="s">
        <v>867</v>
      </c>
      <c r="D236" s="4" t="s">
        <v>94</v>
      </c>
      <c r="E236" s="4" t="s">
        <v>716</v>
      </c>
      <c r="F236" s="4" t="s">
        <v>48</v>
      </c>
      <c r="G236" s="319" t="s">
        <v>609</v>
      </c>
      <c r="H236" s="340" t="s">
        <v>400</v>
      </c>
      <c r="I236" s="280" t="s">
        <v>132</v>
      </c>
      <c r="J236" s="202">
        <f>97.7-3.55</f>
        <v>94.15</v>
      </c>
      <c r="K236" s="202">
        <f>97.7-3.55</f>
        <v>94.15</v>
      </c>
      <c r="L236" s="202">
        <v>0</v>
      </c>
      <c r="M236" s="202">
        <v>0</v>
      </c>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66"/>
    </row>
    <row r="237" spans="1:61" s="31" customFormat="1" ht="33.75" customHeight="1">
      <c r="A237" s="4"/>
      <c r="B237" s="16" t="s">
        <v>879</v>
      </c>
      <c r="C237" s="4" t="s">
        <v>867</v>
      </c>
      <c r="D237" s="4" t="s">
        <v>94</v>
      </c>
      <c r="E237" s="4" t="s">
        <v>880</v>
      </c>
      <c r="F237" s="4" t="s">
        <v>48</v>
      </c>
      <c r="G237" s="327"/>
      <c r="H237" s="386"/>
      <c r="I237" s="290"/>
      <c r="J237" s="233">
        <v>230</v>
      </c>
      <c r="K237" s="233">
        <v>230</v>
      </c>
      <c r="L237" s="233">
        <v>0</v>
      </c>
      <c r="M237" s="233">
        <v>0</v>
      </c>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66"/>
    </row>
    <row r="238" spans="1:61" s="31" customFormat="1" ht="30" customHeight="1">
      <c r="A238" s="4"/>
      <c r="B238" s="16" t="s">
        <v>332</v>
      </c>
      <c r="C238" s="4" t="s">
        <v>867</v>
      </c>
      <c r="D238" s="4" t="s">
        <v>94</v>
      </c>
      <c r="E238" s="4" t="s">
        <v>717</v>
      </c>
      <c r="F238" s="4" t="s">
        <v>48</v>
      </c>
      <c r="G238" s="320"/>
      <c r="H238" s="341"/>
      <c r="I238" s="281"/>
      <c r="J238" s="233">
        <f>490-300</f>
        <v>190</v>
      </c>
      <c r="K238" s="233">
        <f>490-300</f>
        <v>190</v>
      </c>
      <c r="L238" s="233">
        <v>450</v>
      </c>
      <c r="M238" s="233">
        <v>450</v>
      </c>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66"/>
    </row>
    <row r="239" spans="1:61" s="72" customFormat="1" ht="30" customHeight="1">
      <c r="A239" s="120"/>
      <c r="B239" s="122" t="s">
        <v>333</v>
      </c>
      <c r="C239" s="4"/>
      <c r="D239" s="4"/>
      <c r="E239" s="4" t="s">
        <v>720</v>
      </c>
      <c r="F239" s="103"/>
      <c r="G239" s="165"/>
      <c r="H239" s="169"/>
      <c r="I239" s="169"/>
      <c r="J239" s="210">
        <f>J240+J242+J244+J241+J243</f>
        <v>37364.836359999994</v>
      </c>
      <c r="K239" s="210">
        <f>K240+K242+K244+K241+K243</f>
        <v>37364.836359999994</v>
      </c>
      <c r="L239" s="210">
        <f>L240+L242+L244+L241+L243</f>
        <v>37456.609399999994</v>
      </c>
      <c r="M239" s="210">
        <f>M240+M242+M244+M241+M243</f>
        <v>52340.109399999994</v>
      </c>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77"/>
    </row>
    <row r="240" spans="1:61" s="72" customFormat="1" ht="51" customHeight="1">
      <c r="A240" s="120"/>
      <c r="B240" s="103" t="s">
        <v>334</v>
      </c>
      <c r="C240" s="4" t="s">
        <v>867</v>
      </c>
      <c r="D240" s="3" t="s">
        <v>94</v>
      </c>
      <c r="E240" s="4" t="s">
        <v>721</v>
      </c>
      <c r="F240" s="3" t="s">
        <v>48</v>
      </c>
      <c r="G240" s="319" t="s">
        <v>972</v>
      </c>
      <c r="H240" s="280" t="s">
        <v>611</v>
      </c>
      <c r="I240" s="278" t="s">
        <v>970</v>
      </c>
      <c r="J240" s="249">
        <f>33068.1594+1362.69716+772.145</f>
        <v>35203.00156</v>
      </c>
      <c r="K240" s="242">
        <f>33068.1594+1362.69716+772.145</f>
        <v>35203.00156</v>
      </c>
      <c r="L240" s="207">
        <v>33068.1594</v>
      </c>
      <c r="M240" s="207">
        <v>33068.1594</v>
      </c>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77"/>
    </row>
    <row r="241" spans="1:61" s="72" customFormat="1" ht="70.5" customHeight="1">
      <c r="A241" s="280"/>
      <c r="B241" s="331" t="s">
        <v>335</v>
      </c>
      <c r="C241" s="4" t="s">
        <v>867</v>
      </c>
      <c r="D241" s="3" t="s">
        <v>94</v>
      </c>
      <c r="E241" s="3" t="s">
        <v>722</v>
      </c>
      <c r="F241" s="3" t="s">
        <v>44</v>
      </c>
      <c r="G241" s="327"/>
      <c r="H241" s="290"/>
      <c r="I241" s="287"/>
      <c r="J241" s="202">
        <f>195.3+200-200-18.46814+377.494-159.16319</f>
        <v>395.16267000000005</v>
      </c>
      <c r="K241" s="242">
        <f>195.3+200-200-18.46814+377.494-159.16319</f>
        <v>395.16267000000005</v>
      </c>
      <c r="L241" s="207">
        <v>0</v>
      </c>
      <c r="M241" s="207">
        <v>0</v>
      </c>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77"/>
    </row>
    <row r="242" spans="1:61" s="72" customFormat="1" ht="84" customHeight="1">
      <c r="A242" s="281"/>
      <c r="B242" s="338"/>
      <c r="C242" s="4" t="s">
        <v>867</v>
      </c>
      <c r="D242" s="4" t="s">
        <v>94</v>
      </c>
      <c r="E242" s="4" t="s">
        <v>722</v>
      </c>
      <c r="F242" s="4" t="s">
        <v>48</v>
      </c>
      <c r="G242" s="320"/>
      <c r="H242" s="281"/>
      <c r="I242" s="279"/>
      <c r="J242" s="202">
        <f>4603.2-463.435-360.43-377.494+176.83186-2094.91286</f>
        <v>1483.7599999999998</v>
      </c>
      <c r="K242" s="202">
        <f>4603.2-463.435-360.43-377.494+176.83186-2094.91286</f>
        <v>1483.7599999999998</v>
      </c>
      <c r="L242" s="202">
        <v>3638.45</v>
      </c>
      <c r="M242" s="202">
        <v>3638.45</v>
      </c>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77"/>
    </row>
    <row r="243" spans="1:61" s="72" customFormat="1" ht="48" customHeight="1">
      <c r="A243" s="247"/>
      <c r="B243" s="250" t="s">
        <v>969</v>
      </c>
      <c r="C243" s="119" t="s">
        <v>867</v>
      </c>
      <c r="D243" s="4" t="s">
        <v>94</v>
      </c>
      <c r="E243" s="4" t="s">
        <v>968</v>
      </c>
      <c r="F243" s="119" t="s">
        <v>48</v>
      </c>
      <c r="G243" s="224" t="s">
        <v>971</v>
      </c>
      <c r="H243" s="163" t="s">
        <v>374</v>
      </c>
      <c r="I243" s="163" t="s">
        <v>229</v>
      </c>
      <c r="J243" s="202">
        <v>44.40913</v>
      </c>
      <c r="K243" s="202">
        <v>44.40913</v>
      </c>
      <c r="L243" s="202">
        <v>0</v>
      </c>
      <c r="M243" s="202">
        <v>0</v>
      </c>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77"/>
    </row>
    <row r="244" spans="1:61" s="72" customFormat="1" ht="153" customHeight="1">
      <c r="A244" s="120"/>
      <c r="B244" s="103" t="s">
        <v>777</v>
      </c>
      <c r="C244" s="4" t="s">
        <v>867</v>
      </c>
      <c r="D244" s="119" t="s">
        <v>94</v>
      </c>
      <c r="E244" s="120" t="s">
        <v>727</v>
      </c>
      <c r="F244" s="14" t="s">
        <v>48</v>
      </c>
      <c r="G244" s="187" t="s">
        <v>740</v>
      </c>
      <c r="H244" s="186" t="s">
        <v>728</v>
      </c>
      <c r="I244" s="186" t="s">
        <v>778</v>
      </c>
      <c r="J244" s="207">
        <v>238.503</v>
      </c>
      <c r="K244" s="202">
        <v>238.503</v>
      </c>
      <c r="L244" s="207">
        <v>750</v>
      </c>
      <c r="M244" s="207">
        <v>15633.5</v>
      </c>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77"/>
    </row>
    <row r="245" spans="1:61" s="72" customFormat="1" ht="102.75" customHeight="1">
      <c r="A245" s="64"/>
      <c r="B245" s="304" t="s">
        <v>724</v>
      </c>
      <c r="C245" s="4" t="s">
        <v>867</v>
      </c>
      <c r="D245" s="4" t="s">
        <v>94</v>
      </c>
      <c r="E245" s="4" t="s">
        <v>725</v>
      </c>
      <c r="F245" s="4" t="s">
        <v>44</v>
      </c>
      <c r="G245" s="319" t="s">
        <v>610</v>
      </c>
      <c r="H245" s="280" t="s">
        <v>611</v>
      </c>
      <c r="I245" s="278" t="s">
        <v>402</v>
      </c>
      <c r="J245" s="202">
        <v>0</v>
      </c>
      <c r="K245" s="202">
        <v>0</v>
      </c>
      <c r="L245" s="202">
        <v>12.5</v>
      </c>
      <c r="M245" s="202">
        <v>12.5</v>
      </c>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77"/>
    </row>
    <row r="246" spans="1:61" s="72" customFormat="1" ht="102.75" customHeight="1">
      <c r="A246" s="64"/>
      <c r="B246" s="306"/>
      <c r="C246" s="4" t="s">
        <v>867</v>
      </c>
      <c r="D246" s="4" t="s">
        <v>94</v>
      </c>
      <c r="E246" s="4" t="s">
        <v>725</v>
      </c>
      <c r="F246" s="4" t="s">
        <v>48</v>
      </c>
      <c r="G246" s="320"/>
      <c r="H246" s="281"/>
      <c r="I246" s="279"/>
      <c r="J246" s="202">
        <v>419.5</v>
      </c>
      <c r="K246" s="202">
        <v>419.5</v>
      </c>
      <c r="L246" s="202">
        <v>419.5</v>
      </c>
      <c r="M246" s="202">
        <v>419.5</v>
      </c>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77"/>
    </row>
    <row r="247" spans="1:61" s="72" customFormat="1" ht="43.5" customHeight="1">
      <c r="A247" s="64"/>
      <c r="B247" s="69" t="s">
        <v>336</v>
      </c>
      <c r="C247" s="4" t="s">
        <v>867</v>
      </c>
      <c r="D247" s="4" t="s">
        <v>94</v>
      </c>
      <c r="E247" s="4" t="s">
        <v>723</v>
      </c>
      <c r="F247" s="4" t="s">
        <v>48</v>
      </c>
      <c r="G247" s="168" t="s">
        <v>609</v>
      </c>
      <c r="H247" s="6" t="s">
        <v>374</v>
      </c>
      <c r="I247" s="120" t="s">
        <v>229</v>
      </c>
      <c r="J247" s="202">
        <f>560+250-44.40913-544.21587</f>
        <v>221.375</v>
      </c>
      <c r="K247" s="202">
        <f>560+250-44.40913-544.21587</f>
        <v>221.375</v>
      </c>
      <c r="L247" s="202">
        <v>560</v>
      </c>
      <c r="M247" s="202">
        <v>560</v>
      </c>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77"/>
    </row>
    <row r="248" spans="1:13" s="80" customFormat="1" ht="50.25" customHeight="1">
      <c r="A248" s="64"/>
      <c r="B248" s="123" t="s">
        <v>327</v>
      </c>
      <c r="C248" s="4" t="s">
        <v>867</v>
      </c>
      <c r="D248" s="120" t="s">
        <v>94</v>
      </c>
      <c r="E248" s="120" t="s">
        <v>726</v>
      </c>
      <c r="F248" s="4" t="s">
        <v>44</v>
      </c>
      <c r="G248" s="182" t="s">
        <v>609</v>
      </c>
      <c r="H248" s="6" t="s">
        <v>405</v>
      </c>
      <c r="I248" s="120" t="s">
        <v>229</v>
      </c>
      <c r="J248" s="202">
        <f>1411.2-1411.2</f>
        <v>0</v>
      </c>
      <c r="K248" s="202">
        <f>1411.2-1411.2</f>
        <v>0</v>
      </c>
      <c r="L248" s="202">
        <v>654.9</v>
      </c>
      <c r="M248" s="202">
        <v>654.9</v>
      </c>
    </row>
    <row r="249" spans="1:13" s="80" customFormat="1" ht="70.5" customHeight="1">
      <c r="A249" s="120"/>
      <c r="B249" s="11" t="s">
        <v>779</v>
      </c>
      <c r="C249" s="4" t="s">
        <v>5</v>
      </c>
      <c r="D249" s="120" t="s">
        <v>9</v>
      </c>
      <c r="E249" s="120" t="s">
        <v>780</v>
      </c>
      <c r="F249" s="120" t="s">
        <v>44</v>
      </c>
      <c r="G249" s="5" t="s">
        <v>781</v>
      </c>
      <c r="H249" s="7" t="s">
        <v>383</v>
      </c>
      <c r="I249" s="7" t="s">
        <v>782</v>
      </c>
      <c r="J249" s="201">
        <f>654.91672+2619.66688</f>
        <v>3274.5836000000004</v>
      </c>
      <c r="K249" s="201">
        <f>654.91672+2619.66688</f>
        <v>3274.5836000000004</v>
      </c>
      <c r="L249" s="201">
        <v>0</v>
      </c>
      <c r="M249" s="201">
        <v>0</v>
      </c>
    </row>
    <row r="250" spans="1:13" s="80" customFormat="1" ht="82.5" customHeight="1">
      <c r="A250" s="216"/>
      <c r="B250" s="112" t="s">
        <v>870</v>
      </c>
      <c r="C250" s="4" t="s">
        <v>867</v>
      </c>
      <c r="D250" s="120" t="s">
        <v>9</v>
      </c>
      <c r="E250" s="120" t="s">
        <v>871</v>
      </c>
      <c r="F250" s="120" t="s">
        <v>44</v>
      </c>
      <c r="G250" s="131" t="s">
        <v>872</v>
      </c>
      <c r="H250" s="7" t="s">
        <v>383</v>
      </c>
      <c r="I250" s="7" t="s">
        <v>873</v>
      </c>
      <c r="J250" s="202">
        <f>756.28328+2267.9631</f>
        <v>3024.24638</v>
      </c>
      <c r="K250" s="202">
        <f>756.28328+2267.9631</f>
        <v>3024.24638</v>
      </c>
      <c r="L250" s="202">
        <v>0</v>
      </c>
      <c r="M250" s="202">
        <v>0</v>
      </c>
    </row>
    <row r="251" spans="1:13" s="80" customFormat="1" ht="63.75" customHeight="1">
      <c r="A251" s="226"/>
      <c r="B251" s="112" t="s">
        <v>905</v>
      </c>
      <c r="C251" s="4" t="s">
        <v>867</v>
      </c>
      <c r="D251" s="120" t="s">
        <v>94</v>
      </c>
      <c r="E251" s="120" t="s">
        <v>906</v>
      </c>
      <c r="F251" s="120" t="s">
        <v>907</v>
      </c>
      <c r="G251" s="227" t="s">
        <v>609</v>
      </c>
      <c r="H251" s="6" t="s">
        <v>405</v>
      </c>
      <c r="I251" s="120" t="s">
        <v>229</v>
      </c>
      <c r="J251" s="202">
        <f>649.069-173.63953+9033.16-2914.38947</f>
        <v>6594.199999999999</v>
      </c>
      <c r="K251" s="202">
        <f>649.069-173.63953+9033.16-2914.38947</f>
        <v>6594.199999999999</v>
      </c>
      <c r="L251" s="202">
        <v>0</v>
      </c>
      <c r="M251" s="202">
        <v>0</v>
      </c>
    </row>
    <row r="252" spans="1:13" s="80" customFormat="1" ht="63.75" customHeight="1">
      <c r="A252" s="230"/>
      <c r="B252" s="112" t="s">
        <v>905</v>
      </c>
      <c r="C252" s="4" t="s">
        <v>867</v>
      </c>
      <c r="D252" s="120" t="s">
        <v>94</v>
      </c>
      <c r="E252" s="120" t="s">
        <v>927</v>
      </c>
      <c r="F252" s="120" t="s">
        <v>907</v>
      </c>
      <c r="G252" s="231" t="s">
        <v>609</v>
      </c>
      <c r="H252" s="6" t="s">
        <v>407</v>
      </c>
      <c r="I252" s="120" t="s">
        <v>229</v>
      </c>
      <c r="J252" s="202">
        <v>0</v>
      </c>
      <c r="K252" s="202">
        <v>0</v>
      </c>
      <c r="L252" s="202">
        <v>0</v>
      </c>
      <c r="M252" s="202">
        <v>0</v>
      </c>
    </row>
    <row r="253" spans="1:13" s="80" customFormat="1" ht="97.5" customHeight="1">
      <c r="A253" s="64"/>
      <c r="B253" s="11" t="s">
        <v>812</v>
      </c>
      <c r="C253" s="4"/>
      <c r="D253" s="120"/>
      <c r="E253" s="14" t="s">
        <v>814</v>
      </c>
      <c r="F253" s="120"/>
      <c r="G253" s="5"/>
      <c r="H253" s="7"/>
      <c r="I253" s="7"/>
      <c r="J253" s="201">
        <f>J254</f>
        <v>4499.731</v>
      </c>
      <c r="K253" s="201">
        <f>K254</f>
        <v>4499.731</v>
      </c>
      <c r="L253" s="201">
        <f>L254</f>
        <v>0</v>
      </c>
      <c r="M253" s="201">
        <f>M254</f>
        <v>0</v>
      </c>
    </row>
    <row r="254" spans="1:13" s="80" customFormat="1" ht="112.5" customHeight="1">
      <c r="A254" s="64"/>
      <c r="B254" s="11" t="s">
        <v>813</v>
      </c>
      <c r="C254" s="4" t="s">
        <v>867</v>
      </c>
      <c r="D254" s="120" t="s">
        <v>94</v>
      </c>
      <c r="E254" s="14" t="s">
        <v>815</v>
      </c>
      <c r="F254" s="120" t="s">
        <v>48</v>
      </c>
      <c r="G254" s="5" t="s">
        <v>816</v>
      </c>
      <c r="H254" s="7" t="s">
        <v>383</v>
      </c>
      <c r="I254" s="195" t="s">
        <v>817</v>
      </c>
      <c r="J254" s="202">
        <v>4499.731</v>
      </c>
      <c r="K254" s="202">
        <v>4499.731</v>
      </c>
      <c r="L254" s="202">
        <v>0</v>
      </c>
      <c r="M254" s="202">
        <v>0</v>
      </c>
    </row>
    <row r="255" spans="1:13" ht="45" customHeight="1">
      <c r="A255" s="90" t="s">
        <v>222</v>
      </c>
      <c r="B255" s="92" t="s">
        <v>221</v>
      </c>
      <c r="C255" s="90"/>
      <c r="D255" s="93"/>
      <c r="E255" s="90"/>
      <c r="F255" s="90"/>
      <c r="G255" s="94"/>
      <c r="H255" s="90"/>
      <c r="I255" s="90"/>
      <c r="J255" s="200">
        <f>J256</f>
        <v>35238.06006999999</v>
      </c>
      <c r="K255" s="200">
        <f>K256</f>
        <v>35238.06006999999</v>
      </c>
      <c r="L255" s="200">
        <f>L256</f>
        <v>26641.289970000005</v>
      </c>
      <c r="M255" s="200">
        <f>M256</f>
        <v>22685.600970000003</v>
      </c>
    </row>
    <row r="256" spans="1:13" ht="45" customHeight="1">
      <c r="A256" s="6"/>
      <c r="B256" s="16" t="s">
        <v>302</v>
      </c>
      <c r="C256" s="4"/>
      <c r="D256" s="4"/>
      <c r="E256" s="4" t="s">
        <v>66</v>
      </c>
      <c r="F256" s="4"/>
      <c r="G256" s="55"/>
      <c r="H256" s="4"/>
      <c r="I256" s="55"/>
      <c r="J256" s="201">
        <f>J257+J265+J271</f>
        <v>35238.06006999999</v>
      </c>
      <c r="K256" s="201">
        <f>K257+K265+K271</f>
        <v>35238.06006999999</v>
      </c>
      <c r="L256" s="201">
        <f>L257+L265+L271</f>
        <v>26641.289970000005</v>
      </c>
      <c r="M256" s="201">
        <f>M257+M265+M271</f>
        <v>22685.600970000003</v>
      </c>
    </row>
    <row r="257" spans="1:13" ht="30" customHeight="1">
      <c r="A257" s="6"/>
      <c r="B257" s="16" t="s">
        <v>303</v>
      </c>
      <c r="C257" s="6"/>
      <c r="D257" s="4"/>
      <c r="E257" s="4" t="s">
        <v>67</v>
      </c>
      <c r="F257" s="4"/>
      <c r="G257" s="55"/>
      <c r="H257" s="4"/>
      <c r="I257" s="55"/>
      <c r="J257" s="201">
        <f>J258+J262+J263+J264</f>
        <v>25861.5751</v>
      </c>
      <c r="K257" s="201">
        <f>K258+K262+K263+K264</f>
        <v>25861.5751</v>
      </c>
      <c r="L257" s="201">
        <f>L258+L262+L263+L264</f>
        <v>20955.600970000003</v>
      </c>
      <c r="M257" s="201">
        <f>M258+M262+M263+M264</f>
        <v>20955.600970000003</v>
      </c>
    </row>
    <row r="258" spans="1:13" ht="45" customHeight="1">
      <c r="A258" s="6"/>
      <c r="B258" s="122" t="s">
        <v>304</v>
      </c>
      <c r="C258" s="6"/>
      <c r="D258" s="4"/>
      <c r="E258" s="3" t="s">
        <v>305</v>
      </c>
      <c r="F258" s="4"/>
      <c r="G258" s="183"/>
      <c r="H258" s="3"/>
      <c r="I258" s="183"/>
      <c r="J258" s="201">
        <f>J259+J260+J261</f>
        <v>2917.3342999999995</v>
      </c>
      <c r="K258" s="201">
        <f>K259+K260+K261</f>
        <v>2917.3342999999995</v>
      </c>
      <c r="L258" s="201">
        <f>L259+L260+L261</f>
        <v>3887.2</v>
      </c>
      <c r="M258" s="201">
        <f>M259+M260+M261</f>
        <v>3887.2</v>
      </c>
    </row>
    <row r="259" spans="1:13" ht="218.25" customHeight="1">
      <c r="A259" s="6"/>
      <c r="B259" s="11" t="s">
        <v>707</v>
      </c>
      <c r="C259" s="6" t="s">
        <v>867</v>
      </c>
      <c r="D259" s="4" t="s">
        <v>568</v>
      </c>
      <c r="E259" s="3" t="s">
        <v>708</v>
      </c>
      <c r="F259" s="4" t="s">
        <v>48</v>
      </c>
      <c r="G259" s="181" t="s">
        <v>741</v>
      </c>
      <c r="H259" s="3" t="s">
        <v>612</v>
      </c>
      <c r="I259" s="121" t="s">
        <v>613</v>
      </c>
      <c r="J259" s="202">
        <f>3389.1-178.07547-522.69023</f>
        <v>2688.3342999999995</v>
      </c>
      <c r="K259" s="202">
        <f>3389.1-178.07547-522.69023</f>
        <v>2688.3342999999995</v>
      </c>
      <c r="L259" s="202">
        <v>3389.1</v>
      </c>
      <c r="M259" s="202">
        <v>3389.1</v>
      </c>
    </row>
    <row r="260" spans="1:13" ht="110.25" customHeight="1">
      <c r="A260" s="276"/>
      <c r="B260" s="331" t="s">
        <v>710</v>
      </c>
      <c r="C260" s="6" t="s">
        <v>867</v>
      </c>
      <c r="D260" s="4" t="s">
        <v>568</v>
      </c>
      <c r="E260" s="3" t="s">
        <v>709</v>
      </c>
      <c r="F260" s="4" t="s">
        <v>44</v>
      </c>
      <c r="G260" s="313" t="s">
        <v>742</v>
      </c>
      <c r="H260" s="278" t="s">
        <v>612</v>
      </c>
      <c r="I260" s="280" t="s">
        <v>613</v>
      </c>
      <c r="J260" s="202">
        <v>60</v>
      </c>
      <c r="K260" s="202">
        <v>60</v>
      </c>
      <c r="L260" s="202">
        <v>60</v>
      </c>
      <c r="M260" s="202">
        <v>60</v>
      </c>
    </row>
    <row r="261" spans="1:13" ht="110.25" customHeight="1">
      <c r="A261" s="277"/>
      <c r="B261" s="338"/>
      <c r="C261" s="6" t="s">
        <v>867</v>
      </c>
      <c r="D261" s="6">
        <v>1102</v>
      </c>
      <c r="E261" s="3" t="s">
        <v>709</v>
      </c>
      <c r="F261" s="6">
        <v>610</v>
      </c>
      <c r="G261" s="321"/>
      <c r="H261" s="279"/>
      <c r="I261" s="281"/>
      <c r="J261" s="202">
        <f>438.1-238.07547+178.07547-209.1</f>
        <v>169.00000000000003</v>
      </c>
      <c r="K261" s="202">
        <f>438.1-238.07547+178.07547-209.1</f>
        <v>169.00000000000003</v>
      </c>
      <c r="L261" s="207">
        <v>438.1</v>
      </c>
      <c r="M261" s="207">
        <v>438.1</v>
      </c>
    </row>
    <row r="262" spans="1:60" ht="142.5" customHeight="1">
      <c r="A262" s="276"/>
      <c r="B262" s="331" t="s">
        <v>306</v>
      </c>
      <c r="C262" s="6" t="s">
        <v>867</v>
      </c>
      <c r="D262" s="6">
        <v>1102</v>
      </c>
      <c r="E262" s="3" t="s">
        <v>951</v>
      </c>
      <c r="F262" s="6">
        <v>610</v>
      </c>
      <c r="G262" s="319" t="s">
        <v>743</v>
      </c>
      <c r="H262" s="278" t="s">
        <v>383</v>
      </c>
      <c r="I262" s="278" t="s">
        <v>892</v>
      </c>
      <c r="J262" s="202">
        <f>17068.4+600.042+0.00086</f>
        <v>17668.442860000003</v>
      </c>
      <c r="K262" s="202">
        <f>17068.4+600.042+0.00086</f>
        <v>17668.442860000003</v>
      </c>
      <c r="L262" s="202">
        <f>17068.4+0.00097</f>
        <v>17068.400970000002</v>
      </c>
      <c r="M262" s="202">
        <f>17068.4+0.00097</f>
        <v>17068.400970000002</v>
      </c>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row>
    <row r="263" spans="1:60" ht="142.5" customHeight="1">
      <c r="A263" s="277"/>
      <c r="B263" s="338"/>
      <c r="C263" s="6" t="s">
        <v>867</v>
      </c>
      <c r="D263" s="6">
        <v>1102</v>
      </c>
      <c r="E263" s="4" t="s">
        <v>934</v>
      </c>
      <c r="F263" s="6">
        <v>620</v>
      </c>
      <c r="G263" s="320"/>
      <c r="H263" s="279"/>
      <c r="I263" s="279"/>
      <c r="J263" s="202">
        <f>1668.97341-67.58698-84.31962+3037.62293</f>
        <v>4554.68974</v>
      </c>
      <c r="K263" s="202">
        <f>1668.97341-67.58698-84.31962+3037.62293</f>
        <v>4554.68974</v>
      </c>
      <c r="L263" s="202">
        <v>0</v>
      </c>
      <c r="M263" s="202">
        <v>0</v>
      </c>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row>
    <row r="264" spans="1:60" ht="77.25" customHeight="1">
      <c r="A264" s="113"/>
      <c r="B264" s="162" t="s">
        <v>890</v>
      </c>
      <c r="C264" s="6" t="s">
        <v>867</v>
      </c>
      <c r="D264" s="113">
        <v>1102</v>
      </c>
      <c r="E264" s="119" t="s">
        <v>889</v>
      </c>
      <c r="F264" s="6">
        <v>610</v>
      </c>
      <c r="G264" s="217" t="s">
        <v>891</v>
      </c>
      <c r="H264" s="119" t="s">
        <v>383</v>
      </c>
      <c r="I264" s="119" t="s">
        <v>873</v>
      </c>
      <c r="J264" s="202">
        <v>721.1082</v>
      </c>
      <c r="K264" s="202">
        <v>721.1082</v>
      </c>
      <c r="L264" s="202">
        <v>0</v>
      </c>
      <c r="M264" s="202">
        <v>0</v>
      </c>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row>
    <row r="265" spans="1:60" ht="30" customHeight="1">
      <c r="A265" s="6"/>
      <c r="B265" s="16" t="s">
        <v>307</v>
      </c>
      <c r="C265" s="6"/>
      <c r="D265" s="4"/>
      <c r="E265" s="4" t="s">
        <v>68</v>
      </c>
      <c r="F265" s="4"/>
      <c r="G265" s="32"/>
      <c r="H265" s="4"/>
      <c r="I265" s="55"/>
      <c r="J265" s="201">
        <f>J266+J269+J270+J267+J268</f>
        <v>9194.78497</v>
      </c>
      <c r="K265" s="201">
        <f>K266+K269+K270+K267+K268</f>
        <v>9194.78497</v>
      </c>
      <c r="L265" s="201">
        <f>L266+L269+L270+L267+L268</f>
        <v>5455.689</v>
      </c>
      <c r="M265" s="201">
        <f>M266+M269+M270+M267+M268</f>
        <v>1500</v>
      </c>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row>
    <row r="266" spans="1:60" ht="33.75" customHeight="1">
      <c r="A266" s="6"/>
      <c r="B266" s="162" t="s">
        <v>567</v>
      </c>
      <c r="C266" s="4" t="s">
        <v>867</v>
      </c>
      <c r="D266" s="6">
        <v>1102</v>
      </c>
      <c r="E266" s="4" t="s">
        <v>308</v>
      </c>
      <c r="F266" s="14" t="s">
        <v>48</v>
      </c>
      <c r="G266" s="274" t="s">
        <v>744</v>
      </c>
      <c r="H266" s="278"/>
      <c r="I266" s="278" t="s">
        <v>229</v>
      </c>
      <c r="J266" s="207">
        <v>0</v>
      </c>
      <c r="K266" s="207">
        <v>0</v>
      </c>
      <c r="L266" s="207">
        <f>805.4-805.33</f>
        <v>0.06999999999993634</v>
      </c>
      <c r="M266" s="207">
        <v>0</v>
      </c>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row>
    <row r="267" spans="1:60" ht="47.25" customHeight="1">
      <c r="A267" s="6"/>
      <c r="B267" s="11" t="s">
        <v>819</v>
      </c>
      <c r="C267" s="4" t="s">
        <v>867</v>
      </c>
      <c r="D267" s="6">
        <v>1102</v>
      </c>
      <c r="E267" s="4" t="s">
        <v>818</v>
      </c>
      <c r="F267" s="14" t="s">
        <v>48</v>
      </c>
      <c r="G267" s="275"/>
      <c r="H267" s="279"/>
      <c r="I267" s="279"/>
      <c r="J267" s="207">
        <f>2774.027+99.617-15.25554</f>
        <v>2858.38846</v>
      </c>
      <c r="K267" s="207">
        <f>2774.027+99.617-15.25554</f>
        <v>2858.38846</v>
      </c>
      <c r="L267" s="207">
        <v>0</v>
      </c>
      <c r="M267" s="207">
        <v>0</v>
      </c>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row>
    <row r="268" spans="1:60" ht="97.5" customHeight="1">
      <c r="A268" s="121"/>
      <c r="B268" s="124" t="s">
        <v>893</v>
      </c>
      <c r="C268" s="4" t="s">
        <v>867</v>
      </c>
      <c r="D268" s="6">
        <v>1102</v>
      </c>
      <c r="E268" s="120" t="s">
        <v>896</v>
      </c>
      <c r="F268" s="14" t="s">
        <v>48</v>
      </c>
      <c r="G268" s="220" t="s">
        <v>894</v>
      </c>
      <c r="H268" s="163" t="s">
        <v>383</v>
      </c>
      <c r="I268" s="219" t="s">
        <v>895</v>
      </c>
      <c r="J268" s="207">
        <f>1374.6+4123.418-0.127-201.49449</f>
        <v>5296.39651</v>
      </c>
      <c r="K268" s="207">
        <f>1374.6+4123.418-0.127-201.49449</f>
        <v>5296.39651</v>
      </c>
      <c r="L268" s="207">
        <f>2415.989+805.33</f>
        <v>3221.319</v>
      </c>
      <c r="M268" s="207">
        <v>0</v>
      </c>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row>
    <row r="269" spans="1:60" ht="95.25" customHeight="1">
      <c r="A269" s="276"/>
      <c r="B269" s="331" t="s">
        <v>820</v>
      </c>
      <c r="C269" s="4" t="s">
        <v>867</v>
      </c>
      <c r="D269" s="6">
        <v>1102</v>
      </c>
      <c r="E269" s="120" t="s">
        <v>569</v>
      </c>
      <c r="F269" s="14" t="s">
        <v>340</v>
      </c>
      <c r="G269" s="313" t="s">
        <v>615</v>
      </c>
      <c r="H269" s="278" t="s">
        <v>616</v>
      </c>
      <c r="I269" s="278" t="s">
        <v>617</v>
      </c>
      <c r="J269" s="207">
        <v>1040</v>
      </c>
      <c r="K269" s="202">
        <v>1040</v>
      </c>
      <c r="L269" s="207">
        <v>0</v>
      </c>
      <c r="M269" s="207">
        <v>0</v>
      </c>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row>
    <row r="270" spans="1:60" ht="95.25" customHeight="1">
      <c r="A270" s="277"/>
      <c r="B270" s="338"/>
      <c r="C270" s="4" t="s">
        <v>867</v>
      </c>
      <c r="D270" s="6">
        <v>1102</v>
      </c>
      <c r="E270" s="120" t="s">
        <v>569</v>
      </c>
      <c r="F270" s="14" t="s">
        <v>44</v>
      </c>
      <c r="G270" s="321"/>
      <c r="H270" s="279"/>
      <c r="I270" s="279"/>
      <c r="J270" s="207">
        <v>0</v>
      </c>
      <c r="K270" s="202">
        <v>0</v>
      </c>
      <c r="L270" s="207">
        <f>2500-265.7</f>
        <v>2234.3</v>
      </c>
      <c r="M270" s="207">
        <v>1500</v>
      </c>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row>
    <row r="271" spans="1:60" ht="45" customHeight="1">
      <c r="A271" s="6"/>
      <c r="B271" s="16" t="s">
        <v>61</v>
      </c>
      <c r="C271" s="6"/>
      <c r="D271" s="4"/>
      <c r="E271" s="4" t="s">
        <v>69</v>
      </c>
      <c r="F271" s="4"/>
      <c r="G271" s="34"/>
      <c r="H271" s="4"/>
      <c r="I271" s="19"/>
      <c r="J271" s="201">
        <f>J272+J273+J274</f>
        <v>181.7</v>
      </c>
      <c r="K271" s="201">
        <f>K272+K273+K274</f>
        <v>181.7</v>
      </c>
      <c r="L271" s="201">
        <f>L272+L273+L274</f>
        <v>230</v>
      </c>
      <c r="M271" s="201">
        <f>M272+M273+M274</f>
        <v>230</v>
      </c>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row>
    <row r="272" spans="1:60" ht="45" customHeight="1">
      <c r="A272" s="6"/>
      <c r="B272" s="69" t="s">
        <v>70</v>
      </c>
      <c r="C272" s="4" t="s">
        <v>867</v>
      </c>
      <c r="D272" s="6">
        <v>1105</v>
      </c>
      <c r="E272" s="4" t="s">
        <v>309</v>
      </c>
      <c r="F272" s="14" t="s">
        <v>48</v>
      </c>
      <c r="G272" s="313" t="s">
        <v>614</v>
      </c>
      <c r="H272" s="295" t="s">
        <v>618</v>
      </c>
      <c r="I272" s="295" t="s">
        <v>619</v>
      </c>
      <c r="J272" s="202">
        <v>75</v>
      </c>
      <c r="K272" s="202">
        <v>75</v>
      </c>
      <c r="L272" s="202">
        <v>75</v>
      </c>
      <c r="M272" s="202">
        <v>75</v>
      </c>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row>
    <row r="273" spans="1:60" ht="22.5" customHeight="1">
      <c r="A273" s="6"/>
      <c r="B273" s="331" t="s">
        <v>71</v>
      </c>
      <c r="C273" s="4" t="s">
        <v>867</v>
      </c>
      <c r="D273" s="6">
        <v>1105</v>
      </c>
      <c r="E273" s="4" t="s">
        <v>310</v>
      </c>
      <c r="F273" s="14" t="s">
        <v>44</v>
      </c>
      <c r="G273" s="314"/>
      <c r="H273" s="310"/>
      <c r="I273" s="310"/>
      <c r="J273" s="202">
        <v>95</v>
      </c>
      <c r="K273" s="202">
        <v>95</v>
      </c>
      <c r="L273" s="202">
        <v>95</v>
      </c>
      <c r="M273" s="202">
        <v>95</v>
      </c>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row>
    <row r="274" spans="1:60" ht="29.25" customHeight="1">
      <c r="A274" s="6"/>
      <c r="B274" s="338"/>
      <c r="C274" s="4" t="s">
        <v>867</v>
      </c>
      <c r="D274" s="6">
        <v>1105</v>
      </c>
      <c r="E274" s="4" t="s">
        <v>310</v>
      </c>
      <c r="F274" s="14" t="s">
        <v>48</v>
      </c>
      <c r="G274" s="321"/>
      <c r="H274" s="311"/>
      <c r="I274" s="311"/>
      <c r="J274" s="202">
        <f>60-48.3</f>
        <v>11.700000000000003</v>
      </c>
      <c r="K274" s="202">
        <f>60-48.3</f>
        <v>11.700000000000003</v>
      </c>
      <c r="L274" s="202">
        <v>60</v>
      </c>
      <c r="M274" s="202">
        <v>60</v>
      </c>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row>
    <row r="275" spans="1:13" s="80" customFormat="1" ht="30" customHeight="1">
      <c r="A275" s="90" t="s">
        <v>275</v>
      </c>
      <c r="B275" s="99" t="s">
        <v>279</v>
      </c>
      <c r="C275" s="99"/>
      <c r="D275" s="99"/>
      <c r="E275" s="99"/>
      <c r="F275" s="99"/>
      <c r="G275" s="99"/>
      <c r="H275" s="99"/>
      <c r="I275" s="99"/>
      <c r="J275" s="200">
        <f aca="true" t="shared" si="10" ref="J275:M276">J276</f>
        <v>824.0443</v>
      </c>
      <c r="K275" s="200">
        <f t="shared" si="10"/>
        <v>824.0443</v>
      </c>
      <c r="L275" s="200">
        <f t="shared" si="10"/>
        <v>833.1</v>
      </c>
      <c r="M275" s="200">
        <f t="shared" si="10"/>
        <v>833.1</v>
      </c>
    </row>
    <row r="276" spans="1:13" s="80" customFormat="1" ht="30" customHeight="1">
      <c r="A276" s="4"/>
      <c r="B276" s="69" t="s">
        <v>283</v>
      </c>
      <c r="C276" s="4"/>
      <c r="D276" s="4"/>
      <c r="E276" s="4" t="s">
        <v>284</v>
      </c>
      <c r="F276" s="4"/>
      <c r="G276" s="4"/>
      <c r="H276" s="4"/>
      <c r="I276" s="4"/>
      <c r="J276" s="201">
        <f t="shared" si="10"/>
        <v>824.0443</v>
      </c>
      <c r="K276" s="201">
        <f t="shared" si="10"/>
        <v>824.0443</v>
      </c>
      <c r="L276" s="201">
        <f t="shared" si="10"/>
        <v>833.1</v>
      </c>
      <c r="M276" s="201">
        <f t="shared" si="10"/>
        <v>833.1</v>
      </c>
    </row>
    <row r="277" spans="1:13" s="80" customFormat="1" ht="50.25" customHeight="1">
      <c r="A277" s="4"/>
      <c r="B277" s="69" t="s">
        <v>285</v>
      </c>
      <c r="C277" s="4" t="s">
        <v>5</v>
      </c>
      <c r="D277" s="4" t="s">
        <v>289</v>
      </c>
      <c r="E277" s="4" t="s">
        <v>286</v>
      </c>
      <c r="F277" s="4" t="s">
        <v>44</v>
      </c>
      <c r="G277" s="13" t="s">
        <v>522</v>
      </c>
      <c r="H277" s="6" t="s">
        <v>51</v>
      </c>
      <c r="I277" s="7" t="s">
        <v>229</v>
      </c>
      <c r="J277" s="201">
        <f>833.1-9.0557</f>
        <v>824.0443</v>
      </c>
      <c r="K277" s="201">
        <f>833.1-9.0557</f>
        <v>824.0443</v>
      </c>
      <c r="L277" s="201">
        <v>833.1</v>
      </c>
      <c r="M277" s="201">
        <v>833.1</v>
      </c>
    </row>
    <row r="278" spans="1:13" s="80" customFormat="1" ht="60" customHeight="1">
      <c r="A278" s="90" t="s">
        <v>276</v>
      </c>
      <c r="B278" s="99" t="s">
        <v>280</v>
      </c>
      <c r="C278" s="99"/>
      <c r="D278" s="99"/>
      <c r="E278" s="99"/>
      <c r="F278" s="99"/>
      <c r="G278" s="99"/>
      <c r="H278" s="99"/>
      <c r="I278" s="99"/>
      <c r="J278" s="200">
        <f aca="true" t="shared" si="11" ref="J278:M279">J279</f>
        <v>1600</v>
      </c>
      <c r="K278" s="200">
        <f t="shared" si="11"/>
        <v>1600</v>
      </c>
      <c r="L278" s="200">
        <f t="shared" si="11"/>
        <v>1600</v>
      </c>
      <c r="M278" s="200">
        <f t="shared" si="11"/>
        <v>1600</v>
      </c>
    </row>
    <row r="279" spans="1:13" s="80" customFormat="1" ht="30" customHeight="1">
      <c r="A279" s="4"/>
      <c r="B279" s="69" t="s">
        <v>283</v>
      </c>
      <c r="C279" s="4"/>
      <c r="D279" s="4"/>
      <c r="E279" s="4" t="s">
        <v>284</v>
      </c>
      <c r="F279" s="69"/>
      <c r="G279" s="69"/>
      <c r="H279" s="69"/>
      <c r="I279" s="69"/>
      <c r="J279" s="201">
        <f t="shared" si="11"/>
        <v>1600</v>
      </c>
      <c r="K279" s="201">
        <f t="shared" si="11"/>
        <v>1600</v>
      </c>
      <c r="L279" s="201">
        <f t="shared" si="11"/>
        <v>1600</v>
      </c>
      <c r="M279" s="201">
        <f t="shared" si="11"/>
        <v>1600</v>
      </c>
    </row>
    <row r="280" spans="1:13" s="80" customFormat="1" ht="48" customHeight="1">
      <c r="A280" s="4"/>
      <c r="B280" s="69" t="s">
        <v>285</v>
      </c>
      <c r="C280" s="4" t="s">
        <v>5</v>
      </c>
      <c r="D280" s="4" t="s">
        <v>289</v>
      </c>
      <c r="E280" s="4" t="s">
        <v>286</v>
      </c>
      <c r="F280" s="4" t="s">
        <v>44</v>
      </c>
      <c r="G280" s="13" t="s">
        <v>522</v>
      </c>
      <c r="H280" s="6" t="s">
        <v>51</v>
      </c>
      <c r="I280" s="7" t="s">
        <v>229</v>
      </c>
      <c r="J280" s="201">
        <v>1600</v>
      </c>
      <c r="K280" s="201">
        <v>1600</v>
      </c>
      <c r="L280" s="201">
        <v>1600</v>
      </c>
      <c r="M280" s="201">
        <v>1600</v>
      </c>
    </row>
    <row r="281" spans="1:13" s="80" customFormat="1" ht="90" customHeight="1">
      <c r="A281" s="90" t="s">
        <v>277</v>
      </c>
      <c r="B281" s="99" t="s">
        <v>281</v>
      </c>
      <c r="C281" s="99"/>
      <c r="D281" s="99"/>
      <c r="E281" s="99"/>
      <c r="F281" s="99"/>
      <c r="G281" s="99"/>
      <c r="H281" s="99"/>
      <c r="I281" s="99"/>
      <c r="J281" s="200">
        <f>J284+J282+J294+J292</f>
        <v>21723.45484</v>
      </c>
      <c r="K281" s="200">
        <f>K284+K282+K294+K292</f>
        <v>21723.45484</v>
      </c>
      <c r="L281" s="200">
        <f>L284+L282+L294+L292</f>
        <v>12717.9292</v>
      </c>
      <c r="M281" s="200">
        <f>M284+M282+M294+M292</f>
        <v>13649.3</v>
      </c>
    </row>
    <row r="282" spans="1:13" s="33" customFormat="1" ht="45" customHeight="1">
      <c r="A282" s="4"/>
      <c r="B282" s="11" t="s">
        <v>293</v>
      </c>
      <c r="C282" s="6"/>
      <c r="D282" s="4"/>
      <c r="E282" s="4" t="s">
        <v>64</v>
      </c>
      <c r="F282" s="4"/>
      <c r="G282" s="5"/>
      <c r="H282" s="103"/>
      <c r="I282" s="119"/>
      <c r="J282" s="201">
        <f>J283</f>
        <v>85.091</v>
      </c>
      <c r="K282" s="201">
        <f>K283</f>
        <v>85.091</v>
      </c>
      <c r="L282" s="201">
        <f>L283</f>
        <v>147.6</v>
      </c>
      <c r="M282" s="201">
        <f>M283</f>
        <v>147.6</v>
      </c>
    </row>
    <row r="283" spans="1:13" s="33" customFormat="1" ht="70.5" customHeight="1">
      <c r="A283" s="4"/>
      <c r="B283" s="15" t="s">
        <v>416</v>
      </c>
      <c r="C283" s="34" t="s">
        <v>863</v>
      </c>
      <c r="D283" s="120" t="s">
        <v>118</v>
      </c>
      <c r="E283" s="4" t="s">
        <v>417</v>
      </c>
      <c r="F283" s="4" t="s">
        <v>44</v>
      </c>
      <c r="G283" s="13" t="s">
        <v>603</v>
      </c>
      <c r="H283" s="4" t="s">
        <v>51</v>
      </c>
      <c r="I283" s="4" t="s">
        <v>229</v>
      </c>
      <c r="J283" s="201">
        <v>85.091</v>
      </c>
      <c r="K283" s="202">
        <v>85.091</v>
      </c>
      <c r="L283" s="202">
        <v>147.6</v>
      </c>
      <c r="M283" s="202">
        <v>147.6</v>
      </c>
    </row>
    <row r="284" spans="1:13" s="33" customFormat="1" ht="39.75" customHeight="1">
      <c r="A284" s="4"/>
      <c r="B284" s="69" t="s">
        <v>283</v>
      </c>
      <c r="C284" s="4"/>
      <c r="D284" s="4"/>
      <c r="E284" s="4" t="s">
        <v>284</v>
      </c>
      <c r="F284" s="69"/>
      <c r="G284" s="69"/>
      <c r="H284" s="69"/>
      <c r="I284" s="69"/>
      <c r="J284" s="201">
        <f>J285+J287+J288+J286+J289+J290+J291</f>
        <v>20442.759019999998</v>
      </c>
      <c r="K284" s="201">
        <f>K285+K287+K288+K286+K289+K290+K291</f>
        <v>20442.759019999998</v>
      </c>
      <c r="L284" s="201">
        <f>L285+L287+L288+L286+L289+L290+L291</f>
        <v>12570.3292</v>
      </c>
      <c r="M284" s="201">
        <f>M285+M287+M288+M286+M289+M290+M291</f>
        <v>13501.699999999999</v>
      </c>
    </row>
    <row r="285" spans="1:13" s="80" customFormat="1" ht="23.25" customHeight="1">
      <c r="A285" s="278"/>
      <c r="B285" s="331" t="s">
        <v>285</v>
      </c>
      <c r="C285" s="4" t="s">
        <v>5</v>
      </c>
      <c r="D285" s="3" t="s">
        <v>289</v>
      </c>
      <c r="E285" s="278" t="s">
        <v>286</v>
      </c>
      <c r="F285" s="4" t="s">
        <v>44</v>
      </c>
      <c r="G285" s="274" t="s">
        <v>587</v>
      </c>
      <c r="H285" s="278" t="s">
        <v>584</v>
      </c>
      <c r="I285" s="278" t="s">
        <v>585</v>
      </c>
      <c r="J285" s="201">
        <f>6436.1-551.9+1887.83-281.239+744.48388+479.25-226.38173</f>
        <v>8488.143150000002</v>
      </c>
      <c r="K285" s="201">
        <f>6436.1-551.9+1887.83-281.239+744.48388+479.25-226.38173</f>
        <v>8488.143150000002</v>
      </c>
      <c r="L285" s="201">
        <v>8951.9</v>
      </c>
      <c r="M285" s="201">
        <v>8951.9</v>
      </c>
    </row>
    <row r="286" spans="1:13" s="80" customFormat="1" ht="23.25" customHeight="1">
      <c r="A286" s="279"/>
      <c r="B286" s="338"/>
      <c r="C286" s="4" t="s">
        <v>5</v>
      </c>
      <c r="D286" s="3" t="s">
        <v>289</v>
      </c>
      <c r="E286" s="279"/>
      <c r="F286" s="4" t="s">
        <v>46</v>
      </c>
      <c r="G286" s="289"/>
      <c r="H286" s="287"/>
      <c r="I286" s="287"/>
      <c r="J286" s="215">
        <v>551.9</v>
      </c>
      <c r="K286" s="215">
        <v>551.9</v>
      </c>
      <c r="L286" s="215">
        <v>0</v>
      </c>
      <c r="M286" s="215">
        <v>0</v>
      </c>
    </row>
    <row r="287" spans="1:13" s="80" customFormat="1" ht="70.5" customHeight="1">
      <c r="A287" s="4"/>
      <c r="B287" s="69" t="s">
        <v>287</v>
      </c>
      <c r="C287" s="4" t="s">
        <v>5</v>
      </c>
      <c r="D287" s="4" t="s">
        <v>289</v>
      </c>
      <c r="E287" s="4" t="s">
        <v>288</v>
      </c>
      <c r="F287" s="4" t="s">
        <v>44</v>
      </c>
      <c r="G287" s="289"/>
      <c r="H287" s="287"/>
      <c r="I287" s="287"/>
      <c r="J287" s="201">
        <f>1090.9+231.56283-1+1041.94934</f>
        <v>2363.41217</v>
      </c>
      <c r="K287" s="201">
        <f>1090.9+231.56283-1+1041.94934</f>
        <v>2363.41217</v>
      </c>
      <c r="L287" s="201">
        <v>1090.9</v>
      </c>
      <c r="M287" s="201">
        <v>1090.9</v>
      </c>
    </row>
    <row r="288" spans="1:13" s="80" customFormat="1" ht="76.5" customHeight="1">
      <c r="A288" s="4"/>
      <c r="B288" s="69" t="s">
        <v>512</v>
      </c>
      <c r="C288" s="4" t="s">
        <v>5</v>
      </c>
      <c r="D288" s="4" t="s">
        <v>289</v>
      </c>
      <c r="E288" s="4" t="s">
        <v>513</v>
      </c>
      <c r="F288" s="4" t="s">
        <v>44</v>
      </c>
      <c r="G288" s="275"/>
      <c r="H288" s="279"/>
      <c r="I288" s="279"/>
      <c r="J288" s="201">
        <f>1400+1400+625.82</f>
        <v>3425.82</v>
      </c>
      <c r="K288" s="201">
        <f>1400+1400+625.82</f>
        <v>3425.82</v>
      </c>
      <c r="L288" s="201">
        <f>1400+1400-272.4708</f>
        <v>2527.5292</v>
      </c>
      <c r="M288" s="201">
        <f>1558.9+1900</f>
        <v>3458.9</v>
      </c>
    </row>
    <row r="289" spans="1:13" s="80" customFormat="1" ht="132" customHeight="1">
      <c r="A289" s="4"/>
      <c r="B289" s="69" t="s">
        <v>795</v>
      </c>
      <c r="C289" s="4" t="s">
        <v>5</v>
      </c>
      <c r="D289" s="4" t="s">
        <v>289</v>
      </c>
      <c r="E289" s="4" t="s">
        <v>853</v>
      </c>
      <c r="F289" s="4" t="s">
        <v>44</v>
      </c>
      <c r="G289" s="152" t="s">
        <v>796</v>
      </c>
      <c r="H289" s="119" t="s">
        <v>797</v>
      </c>
      <c r="I289" s="4" t="s">
        <v>798</v>
      </c>
      <c r="J289" s="201">
        <f>450.7+2117.5-27.2</f>
        <v>2541</v>
      </c>
      <c r="K289" s="201">
        <f>450.7+2117.5-27.2</f>
        <v>2541</v>
      </c>
      <c r="L289" s="201">
        <v>0</v>
      </c>
      <c r="M289" s="201">
        <v>0</v>
      </c>
    </row>
    <row r="290" spans="1:13" s="80" customFormat="1" ht="103.5" customHeight="1">
      <c r="A290" s="4"/>
      <c r="B290" s="69" t="s">
        <v>799</v>
      </c>
      <c r="C290" s="4" t="s">
        <v>5</v>
      </c>
      <c r="D290" s="4" t="s">
        <v>289</v>
      </c>
      <c r="E290" s="4" t="s">
        <v>854</v>
      </c>
      <c r="F290" s="4" t="s">
        <v>44</v>
      </c>
      <c r="G290" s="152" t="s">
        <v>800</v>
      </c>
      <c r="H290" s="119" t="s">
        <v>797</v>
      </c>
      <c r="I290" s="4" t="s">
        <v>801</v>
      </c>
      <c r="J290" s="201">
        <v>1947.5277</v>
      </c>
      <c r="K290" s="201">
        <v>1947.5277</v>
      </c>
      <c r="L290" s="201">
        <v>0</v>
      </c>
      <c r="M290" s="201">
        <v>0</v>
      </c>
    </row>
    <row r="291" spans="1:13" s="80" customFormat="1" ht="84.75" customHeight="1">
      <c r="A291" s="4"/>
      <c r="B291" s="69" t="s">
        <v>939</v>
      </c>
      <c r="C291" s="4" t="s">
        <v>5</v>
      </c>
      <c r="D291" s="4" t="s">
        <v>289</v>
      </c>
      <c r="E291" s="4" t="s">
        <v>940</v>
      </c>
      <c r="F291" s="4" t="s">
        <v>44</v>
      </c>
      <c r="G291" s="147" t="s">
        <v>941</v>
      </c>
      <c r="H291" s="113" t="s">
        <v>383</v>
      </c>
      <c r="I291" s="120" t="s">
        <v>942</v>
      </c>
      <c r="J291" s="201">
        <v>1124.956</v>
      </c>
      <c r="K291" s="201">
        <v>1124.956</v>
      </c>
      <c r="L291" s="201">
        <v>0</v>
      </c>
      <c r="M291" s="204">
        <v>0</v>
      </c>
    </row>
    <row r="292" spans="1:13" s="80" customFormat="1" ht="46.5" customHeight="1">
      <c r="A292" s="4"/>
      <c r="B292" s="69" t="s">
        <v>754</v>
      </c>
      <c r="C292" s="4"/>
      <c r="D292" s="4"/>
      <c r="E292" s="4" t="s">
        <v>440</v>
      </c>
      <c r="F292" s="4"/>
      <c r="G292" s="147"/>
      <c r="H292" s="113"/>
      <c r="I292" s="120"/>
      <c r="J292" s="201">
        <v>1</v>
      </c>
      <c r="K292" s="201">
        <v>1</v>
      </c>
      <c r="L292" s="201">
        <v>0</v>
      </c>
      <c r="M292" s="204">
        <v>0</v>
      </c>
    </row>
    <row r="293" spans="1:13" s="80" customFormat="1" ht="44.25" customHeight="1">
      <c r="A293" s="4"/>
      <c r="B293" s="69" t="s">
        <v>902</v>
      </c>
      <c r="C293" s="4" t="s">
        <v>5</v>
      </c>
      <c r="D293" s="4" t="s">
        <v>289</v>
      </c>
      <c r="E293" s="4" t="s">
        <v>776</v>
      </c>
      <c r="F293" s="4" t="s">
        <v>114</v>
      </c>
      <c r="G293" s="152" t="s">
        <v>903</v>
      </c>
      <c r="H293" s="119" t="s">
        <v>383</v>
      </c>
      <c r="I293" s="4" t="s">
        <v>904</v>
      </c>
      <c r="J293" s="201">
        <v>1</v>
      </c>
      <c r="K293" s="201">
        <v>1</v>
      </c>
      <c r="L293" s="201">
        <v>0</v>
      </c>
      <c r="M293" s="201">
        <v>0</v>
      </c>
    </row>
    <row r="294" spans="1:13" s="80" customFormat="1" ht="45" customHeight="1">
      <c r="A294" s="4"/>
      <c r="B294" s="69" t="s">
        <v>697</v>
      </c>
      <c r="C294" s="4"/>
      <c r="D294" s="4"/>
      <c r="E294" s="4" t="s">
        <v>78</v>
      </c>
      <c r="F294" s="4"/>
      <c r="G294" s="152"/>
      <c r="H294" s="119"/>
      <c r="I294" s="119"/>
      <c r="J294" s="201">
        <f>J295</f>
        <v>1194.60482</v>
      </c>
      <c r="K294" s="201">
        <f>K295</f>
        <v>1194.60482</v>
      </c>
      <c r="L294" s="201">
        <f>L295</f>
        <v>0</v>
      </c>
      <c r="M294" s="201">
        <f>M295</f>
        <v>0</v>
      </c>
    </row>
    <row r="295" spans="1:13" s="80" customFormat="1" ht="51" customHeight="1">
      <c r="A295" s="4"/>
      <c r="B295" s="69" t="s">
        <v>793</v>
      </c>
      <c r="C295" s="4" t="s">
        <v>5</v>
      </c>
      <c r="D295" s="4" t="s">
        <v>289</v>
      </c>
      <c r="E295" s="4" t="s">
        <v>794</v>
      </c>
      <c r="F295" s="4" t="s">
        <v>44</v>
      </c>
      <c r="G295" s="152" t="s">
        <v>522</v>
      </c>
      <c r="H295" s="119" t="s">
        <v>51</v>
      </c>
      <c r="I295" s="4" t="s">
        <v>229</v>
      </c>
      <c r="J295" s="201">
        <v>1194.60482</v>
      </c>
      <c r="K295" s="201">
        <v>1194.60482</v>
      </c>
      <c r="L295" s="201">
        <v>0</v>
      </c>
      <c r="M295" s="201">
        <v>0</v>
      </c>
    </row>
    <row r="296" spans="1:13" s="80" customFormat="1" ht="105" customHeight="1">
      <c r="A296" s="90" t="s">
        <v>278</v>
      </c>
      <c r="B296" s="99" t="s">
        <v>282</v>
      </c>
      <c r="C296" s="99"/>
      <c r="D296" s="99"/>
      <c r="E296" s="99"/>
      <c r="F296" s="99"/>
      <c r="G296" s="99"/>
      <c r="H296" s="99"/>
      <c r="I296" s="99"/>
      <c r="J296" s="200">
        <f>J297+J300</f>
        <v>25026.39638</v>
      </c>
      <c r="K296" s="200">
        <f>K297+K300</f>
        <v>25026.39638</v>
      </c>
      <c r="L296" s="200">
        <f>L297+L300</f>
        <v>21458.645409999997</v>
      </c>
      <c r="M296" s="200">
        <f>M297+M300</f>
        <v>23269.18158</v>
      </c>
    </row>
    <row r="297" spans="1:13" s="80" customFormat="1" ht="30" customHeight="1">
      <c r="A297" s="4"/>
      <c r="B297" s="69" t="s">
        <v>283</v>
      </c>
      <c r="C297" s="4"/>
      <c r="D297" s="4"/>
      <c r="E297" s="4" t="s">
        <v>284</v>
      </c>
      <c r="F297" s="69"/>
      <c r="G297" s="69"/>
      <c r="H297" s="69"/>
      <c r="I297" s="69"/>
      <c r="J297" s="201">
        <f>J298+J299</f>
        <v>10387.19606</v>
      </c>
      <c r="K297" s="201">
        <f>K298+K299</f>
        <v>10387.19606</v>
      </c>
      <c r="L297" s="201">
        <f>L298+L299</f>
        <v>7407.539269999999</v>
      </c>
      <c r="M297" s="201">
        <f>M298+M299</f>
        <v>7242.14353</v>
      </c>
    </row>
    <row r="298" spans="1:13" s="80" customFormat="1" ht="51.75" customHeight="1">
      <c r="A298" s="4"/>
      <c r="B298" s="69" t="s">
        <v>285</v>
      </c>
      <c r="C298" s="4" t="s">
        <v>5</v>
      </c>
      <c r="D298" s="4" t="s">
        <v>289</v>
      </c>
      <c r="E298" s="4" t="s">
        <v>286</v>
      </c>
      <c r="F298" s="4" t="s">
        <v>44</v>
      </c>
      <c r="G298" s="13" t="s">
        <v>522</v>
      </c>
      <c r="H298" s="6" t="s">
        <v>51</v>
      </c>
      <c r="I298" s="7" t="s">
        <v>229</v>
      </c>
      <c r="J298" s="201">
        <f>1205.7+538.62401</f>
        <v>1744.32401</v>
      </c>
      <c r="K298" s="201">
        <f>1205.7+538.62401</f>
        <v>1744.32401</v>
      </c>
      <c r="L298" s="201">
        <v>1205.7</v>
      </c>
      <c r="M298" s="201">
        <v>1205.7</v>
      </c>
    </row>
    <row r="299" spans="1:13" s="80" customFormat="1" ht="60" customHeight="1">
      <c r="A299" s="4"/>
      <c r="B299" s="69" t="s">
        <v>534</v>
      </c>
      <c r="C299" s="4" t="s">
        <v>5</v>
      </c>
      <c r="D299" s="4" t="s">
        <v>289</v>
      </c>
      <c r="E299" s="4" t="s">
        <v>855</v>
      </c>
      <c r="F299" s="4" t="s">
        <v>44</v>
      </c>
      <c r="G299" s="13" t="s">
        <v>745</v>
      </c>
      <c r="H299" s="113" t="s">
        <v>746</v>
      </c>
      <c r="I299" s="120" t="s">
        <v>736</v>
      </c>
      <c r="J299" s="201">
        <f>8643.41794-0.54589</f>
        <v>8642.87205</v>
      </c>
      <c r="K299" s="201">
        <f>8643.41794-0.54589</f>
        <v>8642.87205</v>
      </c>
      <c r="L299" s="201">
        <f>4341.28749+1860.55178</f>
        <v>6201.8392699999995</v>
      </c>
      <c r="M299" s="204">
        <f>4225.51047+1810.93306</f>
        <v>6036.4435300000005</v>
      </c>
    </row>
    <row r="300" spans="1:13" s="80" customFormat="1" ht="30" customHeight="1">
      <c r="A300" s="4"/>
      <c r="B300" s="69" t="s">
        <v>290</v>
      </c>
      <c r="C300" s="4"/>
      <c r="D300" s="4"/>
      <c r="E300" s="4" t="s">
        <v>291</v>
      </c>
      <c r="F300" s="4"/>
      <c r="G300" s="13"/>
      <c r="H300" s="6"/>
      <c r="I300" s="7"/>
      <c r="J300" s="201">
        <f>J302+J301+J303+J304+J305</f>
        <v>14639.20032</v>
      </c>
      <c r="K300" s="201">
        <f>K302+K301+K303+K304+K305</f>
        <v>14639.20032</v>
      </c>
      <c r="L300" s="201">
        <f>L302+L301+L303+L304+L305</f>
        <v>14051.10614</v>
      </c>
      <c r="M300" s="201">
        <f>M302+M301+M303+M304+M305</f>
        <v>16027.03805</v>
      </c>
    </row>
    <row r="301" spans="1:13" s="80" customFormat="1" ht="60" customHeight="1">
      <c r="A301" s="4"/>
      <c r="B301" s="69" t="s">
        <v>527</v>
      </c>
      <c r="C301" s="4" t="s">
        <v>5</v>
      </c>
      <c r="D301" s="4" t="s">
        <v>289</v>
      </c>
      <c r="E301" s="14" t="s">
        <v>526</v>
      </c>
      <c r="F301" s="4" t="s">
        <v>46</v>
      </c>
      <c r="G301" s="296" t="s">
        <v>826</v>
      </c>
      <c r="H301" s="276" t="s">
        <v>827</v>
      </c>
      <c r="I301" s="284" t="s">
        <v>828</v>
      </c>
      <c r="J301" s="201">
        <f>106.2488+956.2392</f>
        <v>1062.488</v>
      </c>
      <c r="K301" s="201">
        <f>106.2488+956.2392</f>
        <v>1062.488</v>
      </c>
      <c r="L301" s="201">
        <f>209.8+1888.5+0.06571</f>
        <v>2098.36571</v>
      </c>
      <c r="M301" s="201">
        <f>392.1+3528.3-0.05984</f>
        <v>3920.34016</v>
      </c>
    </row>
    <row r="302" spans="1:13" s="80" customFormat="1" ht="60" customHeight="1">
      <c r="A302" s="4"/>
      <c r="B302" s="69" t="s">
        <v>528</v>
      </c>
      <c r="C302" s="4" t="s">
        <v>5</v>
      </c>
      <c r="D302" s="4" t="s">
        <v>289</v>
      </c>
      <c r="E302" s="4" t="s">
        <v>529</v>
      </c>
      <c r="F302" s="4" t="s">
        <v>46</v>
      </c>
      <c r="G302" s="297"/>
      <c r="H302" s="299"/>
      <c r="I302" s="285"/>
      <c r="J302" s="201">
        <f>430.39193+3873.52738</f>
        <v>4303.91931</v>
      </c>
      <c r="K302" s="201">
        <f>430.39193+3873.52738</f>
        <v>4303.91931</v>
      </c>
      <c r="L302" s="201">
        <v>0</v>
      </c>
      <c r="M302" s="201">
        <v>0</v>
      </c>
    </row>
    <row r="303" spans="1:13" s="80" customFormat="1" ht="30" customHeight="1">
      <c r="A303" s="4"/>
      <c r="B303" s="69" t="s">
        <v>292</v>
      </c>
      <c r="C303" s="4" t="s">
        <v>5</v>
      </c>
      <c r="D303" s="4" t="s">
        <v>289</v>
      </c>
      <c r="E303" s="4" t="s">
        <v>531</v>
      </c>
      <c r="F303" s="4" t="s">
        <v>44</v>
      </c>
      <c r="G303" s="297"/>
      <c r="H303" s="299"/>
      <c r="I303" s="285"/>
      <c r="J303" s="201">
        <f>467.7-201.3813</f>
        <v>266.3187</v>
      </c>
      <c r="K303" s="201">
        <f>467.7-201.3813</f>
        <v>266.3187</v>
      </c>
      <c r="L303" s="201">
        <f>557-0.03657</f>
        <v>556.96343</v>
      </c>
      <c r="M303" s="201">
        <f>337.4+0.06598</f>
        <v>337.46598</v>
      </c>
    </row>
    <row r="304" spans="1:13" s="80" customFormat="1" ht="60" customHeight="1">
      <c r="A304" s="4"/>
      <c r="B304" s="69" t="s">
        <v>530</v>
      </c>
      <c r="C304" s="4" t="s">
        <v>5</v>
      </c>
      <c r="D304" s="4" t="s">
        <v>289</v>
      </c>
      <c r="E304" s="4" t="s">
        <v>994</v>
      </c>
      <c r="F304" s="4" t="s">
        <v>44</v>
      </c>
      <c r="G304" s="297"/>
      <c r="H304" s="299"/>
      <c r="I304" s="285"/>
      <c r="J304" s="201">
        <f>214.89419+1934.04768-0.00001-14.1485</f>
        <v>2134.79336</v>
      </c>
      <c r="K304" s="201">
        <f>214.89419+1934.04768-0.00001-14.1485</f>
        <v>2134.79336</v>
      </c>
      <c r="L304" s="201">
        <v>0</v>
      </c>
      <c r="M304" s="201">
        <v>0</v>
      </c>
    </row>
    <row r="305" spans="1:13" s="80" customFormat="1" ht="60" customHeight="1">
      <c r="A305" s="4"/>
      <c r="B305" s="69" t="s">
        <v>533</v>
      </c>
      <c r="C305" s="4" t="s">
        <v>5</v>
      </c>
      <c r="D305" s="4" t="s">
        <v>289</v>
      </c>
      <c r="E305" s="4" t="s">
        <v>532</v>
      </c>
      <c r="F305" s="4" t="s">
        <v>44</v>
      </c>
      <c r="G305" s="298"/>
      <c r="H305" s="277"/>
      <c r="I305" s="288"/>
      <c r="J305" s="201">
        <f>687.16809+6184.51286</f>
        <v>6871.68095</v>
      </c>
      <c r="K305" s="201">
        <f>687.16809+6184.51286</f>
        <v>6871.68095</v>
      </c>
      <c r="L305" s="201">
        <f>1139.6+10256.2-0.0007-0.0223</f>
        <v>11395.777</v>
      </c>
      <c r="M305" s="201">
        <f>1176.9+10592.3+0.00872+0.02319</f>
        <v>11769.231909999999</v>
      </c>
    </row>
    <row r="306" spans="1:13" s="80" customFormat="1" ht="179.25" customHeight="1">
      <c r="A306" s="90" t="s">
        <v>210</v>
      </c>
      <c r="B306" s="100" t="s">
        <v>209</v>
      </c>
      <c r="C306" s="90"/>
      <c r="D306" s="90"/>
      <c r="E306" s="90"/>
      <c r="F306" s="90"/>
      <c r="G306" s="90"/>
      <c r="H306" s="90"/>
      <c r="I306" s="90"/>
      <c r="J306" s="200">
        <f>J307</f>
        <v>4298.849999999999</v>
      </c>
      <c r="K306" s="200">
        <f>K307</f>
        <v>4298.849999999999</v>
      </c>
      <c r="L306" s="200">
        <f>L307</f>
        <v>1772.8842100000002</v>
      </c>
      <c r="M306" s="200">
        <f>M307</f>
        <v>500</v>
      </c>
    </row>
    <row r="307" spans="1:13" s="80" customFormat="1" ht="30" customHeight="1">
      <c r="A307" s="4"/>
      <c r="B307" s="74" t="s">
        <v>253</v>
      </c>
      <c r="C307" s="4"/>
      <c r="D307" s="4"/>
      <c r="E307" s="104" t="s">
        <v>103</v>
      </c>
      <c r="F307" s="4"/>
      <c r="G307" s="8"/>
      <c r="H307" s="18"/>
      <c r="I307" s="7"/>
      <c r="J307" s="201">
        <f>J310+J308+J309</f>
        <v>4298.849999999999</v>
      </c>
      <c r="K307" s="201">
        <f>K310+K308+K309</f>
        <v>4298.849999999999</v>
      </c>
      <c r="L307" s="201">
        <f>L310+L308+L309</f>
        <v>1772.8842100000002</v>
      </c>
      <c r="M307" s="201">
        <f>M310+M308+M309</f>
        <v>500</v>
      </c>
    </row>
    <row r="308" spans="1:13" s="80" customFormat="1" ht="84.75" customHeight="1">
      <c r="A308" s="4"/>
      <c r="B308" s="11" t="s">
        <v>783</v>
      </c>
      <c r="C308" s="6" t="s">
        <v>5</v>
      </c>
      <c r="D308" s="4" t="s">
        <v>9</v>
      </c>
      <c r="E308" s="14" t="s">
        <v>784</v>
      </c>
      <c r="F308" s="4" t="s">
        <v>44</v>
      </c>
      <c r="G308" s="8" t="s">
        <v>785</v>
      </c>
      <c r="H308" s="18" t="s">
        <v>383</v>
      </c>
      <c r="I308" s="195" t="s">
        <v>786</v>
      </c>
      <c r="J308" s="201">
        <f>642.15+3638.85-642.15</f>
        <v>3638.85</v>
      </c>
      <c r="K308" s="201">
        <f>642.15+3638.85-642.15</f>
        <v>3638.85</v>
      </c>
      <c r="L308" s="201">
        <v>622.88421</v>
      </c>
      <c r="M308" s="201">
        <v>0</v>
      </c>
    </row>
    <row r="309" spans="1:13" s="80" customFormat="1" ht="35.25" customHeight="1">
      <c r="A309" s="278"/>
      <c r="B309" s="304" t="s">
        <v>254</v>
      </c>
      <c r="C309" s="6" t="s">
        <v>5</v>
      </c>
      <c r="D309" s="4" t="s">
        <v>9</v>
      </c>
      <c r="E309" s="4" t="s">
        <v>255</v>
      </c>
      <c r="F309" s="4" t="s">
        <v>44</v>
      </c>
      <c r="G309" s="379" t="s">
        <v>523</v>
      </c>
      <c r="H309" s="322" t="s">
        <v>51</v>
      </c>
      <c r="I309" s="317" t="s">
        <v>229</v>
      </c>
      <c r="J309" s="201">
        <v>3.78</v>
      </c>
      <c r="K309" s="201">
        <v>3.78</v>
      </c>
      <c r="L309" s="201">
        <v>0</v>
      </c>
      <c r="M309" s="201">
        <v>0</v>
      </c>
    </row>
    <row r="310" spans="1:13" s="80" customFormat="1" ht="35.25" customHeight="1">
      <c r="A310" s="279"/>
      <c r="B310" s="306"/>
      <c r="C310" s="6" t="s">
        <v>829</v>
      </c>
      <c r="D310" s="4" t="s">
        <v>9</v>
      </c>
      <c r="E310" s="4" t="s">
        <v>255</v>
      </c>
      <c r="F310" s="4" t="s">
        <v>44</v>
      </c>
      <c r="G310" s="380"/>
      <c r="H310" s="323"/>
      <c r="I310" s="318"/>
      <c r="J310" s="201">
        <f>1152.15-642.15-3.78+150</f>
        <v>656.2200000000001</v>
      </c>
      <c r="K310" s="201">
        <f>1152.15-642.15-3.78+150</f>
        <v>656.2200000000001</v>
      </c>
      <c r="L310" s="201">
        <v>1150</v>
      </c>
      <c r="M310" s="201">
        <v>500</v>
      </c>
    </row>
    <row r="311" spans="1:63" s="71" customFormat="1" ht="150" customHeight="1">
      <c r="A311" s="90" t="s">
        <v>216</v>
      </c>
      <c r="B311" s="95" t="s">
        <v>215</v>
      </c>
      <c r="C311" s="99"/>
      <c r="D311" s="90"/>
      <c r="E311" s="99"/>
      <c r="F311" s="99"/>
      <c r="G311" s="97"/>
      <c r="H311" s="98"/>
      <c r="I311" s="98"/>
      <c r="J311" s="200">
        <f>J312</f>
        <v>741.34484</v>
      </c>
      <c r="K311" s="200">
        <f>K312</f>
        <v>741.34484</v>
      </c>
      <c r="L311" s="200">
        <f>L312</f>
        <v>796.1</v>
      </c>
      <c r="M311" s="200">
        <f>M312</f>
        <v>796.1</v>
      </c>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3"/>
      <c r="BJ311" s="33"/>
      <c r="BK311" s="12"/>
    </row>
    <row r="312" spans="1:62" s="31" customFormat="1" ht="45" customHeight="1">
      <c r="A312" s="37"/>
      <c r="B312" s="16" t="s">
        <v>151</v>
      </c>
      <c r="C312" s="69"/>
      <c r="D312" s="4"/>
      <c r="E312" s="4" t="s">
        <v>64</v>
      </c>
      <c r="F312" s="69"/>
      <c r="G312" s="5"/>
      <c r="H312" s="7"/>
      <c r="I312" s="7"/>
      <c r="J312" s="201">
        <f>J313+J314</f>
        <v>741.34484</v>
      </c>
      <c r="K312" s="201">
        <f>K313+K314</f>
        <v>741.34484</v>
      </c>
      <c r="L312" s="201">
        <f>L313+L314</f>
        <v>796.1</v>
      </c>
      <c r="M312" s="201">
        <f>M313+M314</f>
        <v>796.1</v>
      </c>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67"/>
      <c r="BJ312" s="52"/>
    </row>
    <row r="313" spans="1:13" s="33" customFormat="1" ht="35.25" customHeight="1">
      <c r="A313" s="37"/>
      <c r="B313" s="304" t="s">
        <v>821</v>
      </c>
      <c r="C313" s="34" t="s">
        <v>863</v>
      </c>
      <c r="D313" s="4" t="s">
        <v>118</v>
      </c>
      <c r="E313" s="14" t="s">
        <v>822</v>
      </c>
      <c r="F313" s="4" t="s">
        <v>44</v>
      </c>
      <c r="G313" s="293" t="s">
        <v>603</v>
      </c>
      <c r="H313" s="284" t="s">
        <v>51</v>
      </c>
      <c r="I313" s="284" t="s">
        <v>229</v>
      </c>
      <c r="J313" s="201">
        <f>413.5-6</f>
        <v>407.5</v>
      </c>
      <c r="K313" s="201">
        <f>413.5-6</f>
        <v>407.5</v>
      </c>
      <c r="L313" s="201">
        <v>796.1</v>
      </c>
      <c r="M313" s="201">
        <v>796.1</v>
      </c>
    </row>
    <row r="314" spans="1:13" s="33" customFormat="1" ht="36" customHeight="1">
      <c r="A314" s="37"/>
      <c r="B314" s="306"/>
      <c r="C314" s="4" t="s">
        <v>867</v>
      </c>
      <c r="D314" s="4" t="s">
        <v>118</v>
      </c>
      <c r="E314" s="14" t="s">
        <v>822</v>
      </c>
      <c r="F314" s="4" t="s">
        <v>48</v>
      </c>
      <c r="G314" s="325"/>
      <c r="H314" s="288"/>
      <c r="I314" s="288"/>
      <c r="J314" s="201">
        <f>335.1-1.25516</f>
        <v>333.84484000000003</v>
      </c>
      <c r="K314" s="201">
        <f>335.1-1.25516</f>
        <v>333.84484000000003</v>
      </c>
      <c r="L314" s="201">
        <v>0</v>
      </c>
      <c r="M314" s="201">
        <v>0</v>
      </c>
    </row>
    <row r="315" spans="1:13" ht="60" customHeight="1">
      <c r="A315" s="90" t="s">
        <v>423</v>
      </c>
      <c r="B315" s="130" t="s">
        <v>424</v>
      </c>
      <c r="C315" s="94"/>
      <c r="D315" s="90"/>
      <c r="E315" s="114"/>
      <c r="F315" s="90"/>
      <c r="G315" s="149"/>
      <c r="H315" s="150"/>
      <c r="I315" s="151"/>
      <c r="J315" s="200">
        <f aca="true" t="shared" si="12" ref="J315:M317">J316</f>
        <v>60</v>
      </c>
      <c r="K315" s="200">
        <f t="shared" si="12"/>
        <v>60</v>
      </c>
      <c r="L315" s="200">
        <f t="shared" si="12"/>
        <v>66</v>
      </c>
      <c r="M315" s="200">
        <f t="shared" si="12"/>
        <v>66</v>
      </c>
    </row>
    <row r="316" spans="1:13" ht="45" customHeight="1">
      <c r="A316" s="4"/>
      <c r="B316" s="16" t="s">
        <v>151</v>
      </c>
      <c r="C316" s="69"/>
      <c r="D316" s="4"/>
      <c r="E316" s="4" t="s">
        <v>64</v>
      </c>
      <c r="F316" s="4"/>
      <c r="G316" s="147"/>
      <c r="H316" s="148"/>
      <c r="I316" s="113"/>
      <c r="J316" s="201">
        <f t="shared" si="12"/>
        <v>60</v>
      </c>
      <c r="K316" s="201">
        <f t="shared" si="12"/>
        <v>60</v>
      </c>
      <c r="L316" s="201">
        <f t="shared" si="12"/>
        <v>66</v>
      </c>
      <c r="M316" s="201">
        <f t="shared" si="12"/>
        <v>66</v>
      </c>
    </row>
    <row r="317" spans="1:13" ht="75" customHeight="1">
      <c r="A317" s="4"/>
      <c r="B317" s="16" t="s">
        <v>152</v>
      </c>
      <c r="C317" s="69"/>
      <c r="D317" s="4"/>
      <c r="E317" s="4" t="s">
        <v>63</v>
      </c>
      <c r="F317" s="4"/>
      <c r="G317" s="147"/>
      <c r="H317" s="148"/>
      <c r="I317" s="113"/>
      <c r="J317" s="201">
        <f t="shared" si="12"/>
        <v>60</v>
      </c>
      <c r="K317" s="201">
        <f t="shared" si="12"/>
        <v>60</v>
      </c>
      <c r="L317" s="201">
        <f t="shared" si="12"/>
        <v>66</v>
      </c>
      <c r="M317" s="201">
        <f t="shared" si="12"/>
        <v>66</v>
      </c>
    </row>
    <row r="318" spans="1:13" ht="75.75" customHeight="1">
      <c r="A318" s="4"/>
      <c r="B318" s="11" t="s">
        <v>373</v>
      </c>
      <c r="C318" s="34" t="s">
        <v>863</v>
      </c>
      <c r="D318" s="4" t="s">
        <v>118</v>
      </c>
      <c r="E318" s="4" t="s">
        <v>372</v>
      </c>
      <c r="F318" s="4" t="s">
        <v>44</v>
      </c>
      <c r="G318" s="13" t="s">
        <v>603</v>
      </c>
      <c r="H318" s="4" t="s">
        <v>51</v>
      </c>
      <c r="I318" s="4" t="s">
        <v>229</v>
      </c>
      <c r="J318" s="201">
        <f>66-6</f>
        <v>60</v>
      </c>
      <c r="K318" s="201">
        <f>66-6</f>
        <v>60</v>
      </c>
      <c r="L318" s="201">
        <v>66</v>
      </c>
      <c r="M318" s="201">
        <v>66</v>
      </c>
    </row>
    <row r="319" spans="1:60" ht="30" customHeight="1">
      <c r="A319" s="90" t="s">
        <v>218</v>
      </c>
      <c r="B319" s="92" t="s">
        <v>217</v>
      </c>
      <c r="C319" s="90"/>
      <c r="D319" s="93"/>
      <c r="E319" s="93"/>
      <c r="F319" s="90"/>
      <c r="G319" s="94"/>
      <c r="H319" s="90"/>
      <c r="I319" s="90"/>
      <c r="J319" s="200">
        <f aca="true" t="shared" si="13" ref="J319:M320">J320</f>
        <v>3070.1373</v>
      </c>
      <c r="K319" s="200">
        <f t="shared" si="13"/>
        <v>3070.1373</v>
      </c>
      <c r="L319" s="200">
        <f t="shared" si="13"/>
        <v>739</v>
      </c>
      <c r="M319" s="200">
        <f t="shared" si="13"/>
        <v>739</v>
      </c>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row>
    <row r="320" spans="1:60" ht="30" customHeight="1">
      <c r="A320" s="6"/>
      <c r="B320" s="16" t="s">
        <v>294</v>
      </c>
      <c r="C320" s="4"/>
      <c r="D320" s="4"/>
      <c r="E320" s="4" t="s">
        <v>72</v>
      </c>
      <c r="F320" s="4"/>
      <c r="G320" s="84"/>
      <c r="H320" s="84"/>
      <c r="I320" s="84"/>
      <c r="J320" s="201">
        <f t="shared" si="13"/>
        <v>3070.1373</v>
      </c>
      <c r="K320" s="201">
        <f t="shared" si="13"/>
        <v>3070.1373</v>
      </c>
      <c r="L320" s="201">
        <f t="shared" si="13"/>
        <v>739</v>
      </c>
      <c r="M320" s="201">
        <f t="shared" si="13"/>
        <v>739</v>
      </c>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row>
    <row r="321" spans="1:60" ht="15" customHeight="1">
      <c r="A321" s="6"/>
      <c r="B321" s="16" t="s">
        <v>299</v>
      </c>
      <c r="C321" s="4"/>
      <c r="D321" s="4"/>
      <c r="E321" s="4" t="s">
        <v>300</v>
      </c>
      <c r="F321" s="4"/>
      <c r="G321" s="84"/>
      <c r="H321" s="84"/>
      <c r="I321" s="84"/>
      <c r="J321" s="201">
        <f>J322+J323+J324+J325+J327+J326</f>
        <v>3070.1373</v>
      </c>
      <c r="K321" s="201">
        <f>K322+K323+K324+K325+K327+K326</f>
        <v>3070.1373</v>
      </c>
      <c r="L321" s="201">
        <f>L322+L323+L324+L325+L327+L326</f>
        <v>739</v>
      </c>
      <c r="M321" s="201">
        <f>M322+M323+M324+M325+M327+M326</f>
        <v>739</v>
      </c>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row>
    <row r="322" spans="1:60" ht="106.5" customHeight="1">
      <c r="A322" s="6"/>
      <c r="B322" s="15" t="s">
        <v>56</v>
      </c>
      <c r="C322" s="6" t="s">
        <v>829</v>
      </c>
      <c r="D322" s="4" t="s">
        <v>47</v>
      </c>
      <c r="E322" s="14" t="s">
        <v>958</v>
      </c>
      <c r="F322" s="4" t="s">
        <v>46</v>
      </c>
      <c r="G322" s="13" t="s">
        <v>428</v>
      </c>
      <c r="H322" s="6" t="s">
        <v>125</v>
      </c>
      <c r="I322" s="6" t="s">
        <v>418</v>
      </c>
      <c r="J322" s="201">
        <f>3300-480.079</f>
        <v>2819.921</v>
      </c>
      <c r="K322" s="201">
        <f>3300-480.079</f>
        <v>2819.921</v>
      </c>
      <c r="L322" s="201">
        <v>0</v>
      </c>
      <c r="M322" s="201">
        <v>0</v>
      </c>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row>
    <row r="323" spans="1:60" ht="51.75" customHeight="1">
      <c r="A323" s="6"/>
      <c r="B323" s="31" t="s">
        <v>79</v>
      </c>
      <c r="C323" s="6" t="s">
        <v>829</v>
      </c>
      <c r="D323" s="4" t="s">
        <v>47</v>
      </c>
      <c r="E323" s="14" t="s">
        <v>957</v>
      </c>
      <c r="F323" s="4" t="s">
        <v>44</v>
      </c>
      <c r="G323" s="146" t="s">
        <v>429</v>
      </c>
      <c r="H323" s="4" t="s">
        <v>51</v>
      </c>
      <c r="I323" s="6" t="s">
        <v>229</v>
      </c>
      <c r="J323" s="201">
        <f>150-150</f>
        <v>0</v>
      </c>
      <c r="K323" s="201">
        <v>0</v>
      </c>
      <c r="L323" s="201">
        <v>150</v>
      </c>
      <c r="M323" s="201">
        <v>150</v>
      </c>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row>
    <row r="324" spans="1:60" ht="109.5" customHeight="1">
      <c r="A324" s="6"/>
      <c r="B324" s="11" t="s">
        <v>57</v>
      </c>
      <c r="C324" s="6" t="s">
        <v>829</v>
      </c>
      <c r="D324" s="4" t="s">
        <v>47</v>
      </c>
      <c r="E324" s="14" t="s">
        <v>959</v>
      </c>
      <c r="F324" s="4" t="s">
        <v>46</v>
      </c>
      <c r="G324" s="13" t="s">
        <v>430</v>
      </c>
      <c r="H324" s="6" t="s">
        <v>99</v>
      </c>
      <c r="I324" s="4" t="s">
        <v>422</v>
      </c>
      <c r="J324" s="201">
        <f>150-150</f>
        <v>0</v>
      </c>
      <c r="K324" s="201">
        <v>0</v>
      </c>
      <c r="L324" s="201">
        <v>150</v>
      </c>
      <c r="M324" s="201">
        <v>150</v>
      </c>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row>
    <row r="325" spans="1:60" ht="29.25" customHeight="1">
      <c r="A325" s="276"/>
      <c r="B325" s="304" t="s">
        <v>115</v>
      </c>
      <c r="C325" s="6" t="s">
        <v>829</v>
      </c>
      <c r="D325" s="4" t="s">
        <v>47</v>
      </c>
      <c r="E325" s="278" t="s">
        <v>301</v>
      </c>
      <c r="F325" s="4" t="s">
        <v>44</v>
      </c>
      <c r="G325" s="328" t="s">
        <v>431</v>
      </c>
      <c r="H325" s="278" t="s">
        <v>129</v>
      </c>
      <c r="I325" s="276" t="s">
        <v>419</v>
      </c>
      <c r="J325" s="201">
        <f>232-41.7837</f>
        <v>190.2163</v>
      </c>
      <c r="K325" s="201">
        <f>232-41.7837</f>
        <v>190.2163</v>
      </c>
      <c r="L325" s="201">
        <f>199+110</f>
        <v>309</v>
      </c>
      <c r="M325" s="201">
        <f>199+110</f>
        <v>309</v>
      </c>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row>
    <row r="326" spans="1:60" ht="29.25" customHeight="1">
      <c r="A326" s="299"/>
      <c r="B326" s="305"/>
      <c r="C326" s="6" t="s">
        <v>867</v>
      </c>
      <c r="D326" s="4" t="s">
        <v>47</v>
      </c>
      <c r="E326" s="287"/>
      <c r="F326" s="4" t="s">
        <v>48</v>
      </c>
      <c r="G326" s="329"/>
      <c r="H326" s="287"/>
      <c r="I326" s="299"/>
      <c r="J326" s="201">
        <v>30</v>
      </c>
      <c r="K326" s="201">
        <v>30</v>
      </c>
      <c r="L326" s="201">
        <v>0</v>
      </c>
      <c r="M326" s="201">
        <v>0</v>
      </c>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row>
    <row r="327" spans="1:60" ht="29.25" customHeight="1">
      <c r="A327" s="277"/>
      <c r="B327" s="306"/>
      <c r="C327" s="6" t="s">
        <v>829</v>
      </c>
      <c r="D327" s="4" t="s">
        <v>47</v>
      </c>
      <c r="E327" s="279"/>
      <c r="F327" s="4" t="s">
        <v>46</v>
      </c>
      <c r="G327" s="330"/>
      <c r="H327" s="279"/>
      <c r="I327" s="277"/>
      <c r="J327" s="201">
        <f>54-24</f>
        <v>30</v>
      </c>
      <c r="K327" s="201">
        <f>54-24</f>
        <v>30</v>
      </c>
      <c r="L327" s="201">
        <f>240-110</f>
        <v>130</v>
      </c>
      <c r="M327" s="201">
        <f>240-110</f>
        <v>130</v>
      </c>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row>
    <row r="328" spans="1:60" ht="30" customHeight="1">
      <c r="A328" s="90" t="s">
        <v>220</v>
      </c>
      <c r="B328" s="92" t="s">
        <v>219</v>
      </c>
      <c r="C328" s="90"/>
      <c r="D328" s="93"/>
      <c r="E328" s="93"/>
      <c r="F328" s="90"/>
      <c r="G328" s="94"/>
      <c r="H328" s="90"/>
      <c r="I328" s="90"/>
      <c r="J328" s="200">
        <f aca="true" t="shared" si="14" ref="J328:M329">J329</f>
        <v>139.56</v>
      </c>
      <c r="K328" s="200">
        <f t="shared" si="14"/>
        <v>139.56</v>
      </c>
      <c r="L328" s="200">
        <f t="shared" si="14"/>
        <v>280</v>
      </c>
      <c r="M328" s="200">
        <f t="shared" si="14"/>
        <v>280</v>
      </c>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row>
    <row r="329" spans="1:60" ht="30" customHeight="1">
      <c r="A329" s="4"/>
      <c r="B329" s="16" t="s">
        <v>294</v>
      </c>
      <c r="C329" s="4"/>
      <c r="D329" s="4"/>
      <c r="E329" s="4" t="s">
        <v>72</v>
      </c>
      <c r="F329" s="4"/>
      <c r="G329" s="34"/>
      <c r="H329" s="4"/>
      <c r="I329" s="4"/>
      <c r="J329" s="201">
        <f t="shared" si="14"/>
        <v>139.56</v>
      </c>
      <c r="K329" s="201">
        <f t="shared" si="14"/>
        <v>139.56</v>
      </c>
      <c r="L329" s="201">
        <f t="shared" si="14"/>
        <v>280</v>
      </c>
      <c r="M329" s="201">
        <f t="shared" si="14"/>
        <v>280</v>
      </c>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row>
    <row r="330" spans="1:60" ht="30" customHeight="1">
      <c r="A330" s="4"/>
      <c r="B330" s="16" t="s">
        <v>295</v>
      </c>
      <c r="C330" s="4"/>
      <c r="D330" s="4"/>
      <c r="E330" s="4" t="s">
        <v>296</v>
      </c>
      <c r="F330" s="4"/>
      <c r="G330" s="34"/>
      <c r="H330" s="4"/>
      <c r="I330" s="4"/>
      <c r="J330" s="201">
        <f>J331+J332+J333</f>
        <v>139.56</v>
      </c>
      <c r="K330" s="201">
        <f>K331+K332+K333</f>
        <v>139.56</v>
      </c>
      <c r="L330" s="201">
        <f>L331+L332+L333</f>
        <v>280</v>
      </c>
      <c r="M330" s="201">
        <f>M331+M332+M333</f>
        <v>280</v>
      </c>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row>
    <row r="331" spans="1:60" ht="44.25" customHeight="1">
      <c r="A331" s="278"/>
      <c r="B331" s="304" t="s">
        <v>54</v>
      </c>
      <c r="C331" s="6" t="s">
        <v>829</v>
      </c>
      <c r="D331" s="4" t="s">
        <v>9</v>
      </c>
      <c r="E331" s="4" t="s">
        <v>297</v>
      </c>
      <c r="F331" s="4" t="s">
        <v>44</v>
      </c>
      <c r="G331" s="293" t="s">
        <v>747</v>
      </c>
      <c r="H331" s="276" t="s">
        <v>128</v>
      </c>
      <c r="I331" s="278" t="s">
        <v>419</v>
      </c>
      <c r="J331" s="201">
        <f>160+20-40.44</f>
        <v>139.56</v>
      </c>
      <c r="K331" s="201">
        <f>160+20-40.44</f>
        <v>139.56</v>
      </c>
      <c r="L331" s="201">
        <v>160</v>
      </c>
      <c r="M331" s="201">
        <v>160</v>
      </c>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row>
    <row r="332" spans="1:60" ht="44.25" customHeight="1">
      <c r="A332" s="279"/>
      <c r="B332" s="306"/>
      <c r="C332" s="6" t="s">
        <v>829</v>
      </c>
      <c r="D332" s="4" t="s">
        <v>9</v>
      </c>
      <c r="E332" s="4" t="s">
        <v>297</v>
      </c>
      <c r="F332" s="4" t="s">
        <v>46</v>
      </c>
      <c r="G332" s="325"/>
      <c r="H332" s="277"/>
      <c r="I332" s="279"/>
      <c r="J332" s="201">
        <v>0</v>
      </c>
      <c r="K332" s="201">
        <v>0</v>
      </c>
      <c r="L332" s="201">
        <v>70</v>
      </c>
      <c r="M332" s="201">
        <v>70</v>
      </c>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row>
    <row r="333" spans="1:60" ht="51" customHeight="1">
      <c r="A333" s="6"/>
      <c r="B333" s="11" t="s">
        <v>55</v>
      </c>
      <c r="C333" s="6" t="s">
        <v>829</v>
      </c>
      <c r="D333" s="4" t="s">
        <v>9</v>
      </c>
      <c r="E333" s="4" t="s">
        <v>298</v>
      </c>
      <c r="F333" s="4" t="s">
        <v>44</v>
      </c>
      <c r="G333" s="5" t="s">
        <v>429</v>
      </c>
      <c r="H333" s="18" t="s">
        <v>51</v>
      </c>
      <c r="I333" s="6" t="s">
        <v>229</v>
      </c>
      <c r="J333" s="201">
        <v>0</v>
      </c>
      <c r="K333" s="201">
        <v>0</v>
      </c>
      <c r="L333" s="201">
        <v>50</v>
      </c>
      <c r="M333" s="201">
        <v>50</v>
      </c>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row>
    <row r="334" spans="1:60" ht="30" customHeight="1">
      <c r="A334" s="90" t="s">
        <v>224</v>
      </c>
      <c r="B334" s="92" t="s">
        <v>223</v>
      </c>
      <c r="C334" s="90"/>
      <c r="D334" s="93"/>
      <c r="E334" s="90"/>
      <c r="F334" s="90"/>
      <c r="G334" s="90"/>
      <c r="H334" s="90"/>
      <c r="I334" s="90"/>
      <c r="J334" s="200">
        <f>J335</f>
        <v>772.46814</v>
      </c>
      <c r="K334" s="200">
        <f>K335</f>
        <v>772.46814</v>
      </c>
      <c r="L334" s="200">
        <f>L335</f>
        <v>1282.8</v>
      </c>
      <c r="M334" s="200">
        <f>M335</f>
        <v>1282.8</v>
      </c>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row>
    <row r="335" spans="1:60" ht="30" customHeight="1">
      <c r="A335" s="6"/>
      <c r="B335" s="16" t="s">
        <v>311</v>
      </c>
      <c r="C335" s="4"/>
      <c r="D335" s="4"/>
      <c r="E335" s="4" t="s">
        <v>73</v>
      </c>
      <c r="F335" s="4"/>
      <c r="G335" s="55"/>
      <c r="H335" s="4"/>
      <c r="I335" s="55"/>
      <c r="J335" s="201">
        <f>J336+J342</f>
        <v>772.46814</v>
      </c>
      <c r="K335" s="201">
        <f>K336+K342</f>
        <v>772.46814</v>
      </c>
      <c r="L335" s="201">
        <f>L336+L342</f>
        <v>1282.8</v>
      </c>
      <c r="M335" s="201">
        <f>M336+M342</f>
        <v>1282.8</v>
      </c>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row>
    <row r="336" spans="2:61" s="16" customFormat="1" ht="30" customHeight="1">
      <c r="B336" s="16" t="s">
        <v>312</v>
      </c>
      <c r="D336" s="4"/>
      <c r="E336" s="4" t="s">
        <v>313</v>
      </c>
      <c r="J336" s="201">
        <f>J337+J338+J340+J341+J339</f>
        <v>442.96814</v>
      </c>
      <c r="K336" s="201">
        <f>K337+K338+K340+K341+K339</f>
        <v>442.96814</v>
      </c>
      <c r="L336" s="201">
        <f>L337+L338+L340+L341+L339</f>
        <v>663.8</v>
      </c>
      <c r="M336" s="201">
        <f>M337+M338+M340+M341+M339</f>
        <v>663.8</v>
      </c>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9"/>
    </row>
    <row r="337" spans="1:13" s="38" customFormat="1" ht="45.75" customHeight="1">
      <c r="A337" s="16"/>
      <c r="B337" s="16" t="s">
        <v>314</v>
      </c>
      <c r="C337" s="4" t="s">
        <v>867</v>
      </c>
      <c r="D337" s="4" t="s">
        <v>49</v>
      </c>
      <c r="E337" s="4" t="s">
        <v>315</v>
      </c>
      <c r="F337" s="4" t="s">
        <v>48</v>
      </c>
      <c r="G337" s="165" t="s">
        <v>748</v>
      </c>
      <c r="H337" s="169" t="s">
        <v>403</v>
      </c>
      <c r="I337" s="169" t="s">
        <v>375</v>
      </c>
      <c r="J337" s="202">
        <f>142.5-59</f>
        <v>83.5</v>
      </c>
      <c r="K337" s="202">
        <f>142.5-59</f>
        <v>83.5</v>
      </c>
      <c r="L337" s="202">
        <v>142.5</v>
      </c>
      <c r="M337" s="202">
        <v>142.5</v>
      </c>
    </row>
    <row r="338" spans="1:13" ht="25.5" customHeight="1">
      <c r="A338" s="4"/>
      <c r="B338" s="332"/>
      <c r="C338" s="4" t="s">
        <v>867</v>
      </c>
      <c r="D338" s="4" t="s">
        <v>49</v>
      </c>
      <c r="E338" s="4" t="s">
        <v>316</v>
      </c>
      <c r="F338" s="4" t="s">
        <v>48</v>
      </c>
      <c r="G338" s="261"/>
      <c r="H338" s="119"/>
      <c r="I338" s="260"/>
      <c r="J338" s="202">
        <f>336-80+70-141.83186-20</f>
        <v>164.16814</v>
      </c>
      <c r="K338" s="202">
        <f>336-80+70-141.83186-20</f>
        <v>164.16814</v>
      </c>
      <c r="L338" s="202">
        <v>336</v>
      </c>
      <c r="M338" s="202">
        <v>336</v>
      </c>
    </row>
    <row r="339" spans="1:13" ht="132" customHeight="1">
      <c r="A339" s="3"/>
      <c r="B339" s="338"/>
      <c r="C339" s="4" t="s">
        <v>867</v>
      </c>
      <c r="D339" s="119" t="s">
        <v>49</v>
      </c>
      <c r="E339" s="119" t="s">
        <v>316</v>
      </c>
      <c r="F339" s="4" t="s">
        <v>62</v>
      </c>
      <c r="G339" s="245" t="s">
        <v>965</v>
      </c>
      <c r="H339" s="163" t="s">
        <v>966</v>
      </c>
      <c r="I339" s="163" t="s">
        <v>967</v>
      </c>
      <c r="J339" s="202">
        <v>10</v>
      </c>
      <c r="K339" s="202">
        <v>10</v>
      </c>
      <c r="L339" s="202">
        <v>0</v>
      </c>
      <c r="M339" s="202">
        <v>0</v>
      </c>
    </row>
    <row r="340" spans="1:13" ht="45" customHeight="1">
      <c r="A340" s="278"/>
      <c r="B340" s="331" t="s">
        <v>317</v>
      </c>
      <c r="C340" s="4" t="s">
        <v>867</v>
      </c>
      <c r="D340" s="4" t="s">
        <v>49</v>
      </c>
      <c r="E340" s="4" t="s">
        <v>318</v>
      </c>
      <c r="F340" s="120" t="s">
        <v>44</v>
      </c>
      <c r="G340" s="313" t="s">
        <v>620</v>
      </c>
      <c r="H340" s="278" t="s">
        <v>404</v>
      </c>
      <c r="I340" s="280" t="s">
        <v>375</v>
      </c>
      <c r="J340" s="202">
        <v>120</v>
      </c>
      <c r="K340" s="202">
        <v>120</v>
      </c>
      <c r="L340" s="202">
        <v>120</v>
      </c>
      <c r="M340" s="202">
        <v>120</v>
      </c>
    </row>
    <row r="341" spans="1:13" ht="45" customHeight="1">
      <c r="A341" s="279"/>
      <c r="B341" s="338"/>
      <c r="C341" s="4" t="s">
        <v>867</v>
      </c>
      <c r="D341" s="4" t="s">
        <v>49</v>
      </c>
      <c r="E341" s="4" t="s">
        <v>318</v>
      </c>
      <c r="F341" s="120" t="s">
        <v>48</v>
      </c>
      <c r="G341" s="321"/>
      <c r="H341" s="279"/>
      <c r="I341" s="281"/>
      <c r="J341" s="202">
        <v>65.3</v>
      </c>
      <c r="K341" s="202">
        <v>65.3</v>
      </c>
      <c r="L341" s="202">
        <v>65.3</v>
      </c>
      <c r="M341" s="202">
        <v>65.3</v>
      </c>
    </row>
    <row r="342" spans="1:13" ht="30" customHeight="1">
      <c r="A342" s="4"/>
      <c r="B342" s="123" t="s">
        <v>319</v>
      </c>
      <c r="C342" s="4"/>
      <c r="D342" s="4"/>
      <c r="E342" s="4" t="s">
        <v>320</v>
      </c>
      <c r="F342" s="120"/>
      <c r="G342" s="144"/>
      <c r="H342" s="145"/>
      <c r="I342" s="145"/>
      <c r="J342" s="201">
        <f>J343+J344+J345</f>
        <v>329.5</v>
      </c>
      <c r="K342" s="201">
        <f>K343+K344+K345</f>
        <v>329.5</v>
      </c>
      <c r="L342" s="201">
        <f>L343+L344+L345</f>
        <v>619</v>
      </c>
      <c r="M342" s="201">
        <f>M343+M344+M345</f>
        <v>619</v>
      </c>
    </row>
    <row r="343" spans="1:13" ht="30" customHeight="1">
      <c r="A343" s="4"/>
      <c r="B343" s="123" t="s">
        <v>321</v>
      </c>
      <c r="C343" s="4" t="s">
        <v>867</v>
      </c>
      <c r="D343" s="4" t="s">
        <v>49</v>
      </c>
      <c r="E343" s="4" t="s">
        <v>322</v>
      </c>
      <c r="F343" s="120" t="s">
        <v>48</v>
      </c>
      <c r="G343" s="313" t="s">
        <v>748</v>
      </c>
      <c r="H343" s="120" t="s">
        <v>405</v>
      </c>
      <c r="I343" s="280" t="s">
        <v>406</v>
      </c>
      <c r="J343" s="202">
        <f>597-35-446</f>
        <v>116</v>
      </c>
      <c r="K343" s="202">
        <f>597-35-446</f>
        <v>116</v>
      </c>
      <c r="L343" s="202">
        <v>597</v>
      </c>
      <c r="M343" s="202">
        <v>597</v>
      </c>
    </row>
    <row r="344" spans="1:13" ht="30" customHeight="1">
      <c r="A344" s="4"/>
      <c r="B344" s="123" t="s">
        <v>323</v>
      </c>
      <c r="C344" s="4" t="s">
        <v>867</v>
      </c>
      <c r="D344" s="4" t="s">
        <v>49</v>
      </c>
      <c r="E344" s="4" t="s">
        <v>324</v>
      </c>
      <c r="F344" s="4" t="s">
        <v>48</v>
      </c>
      <c r="G344" s="321"/>
      <c r="H344" s="120" t="s">
        <v>407</v>
      </c>
      <c r="I344" s="281"/>
      <c r="J344" s="202">
        <f>22-8.5</f>
        <v>13.5</v>
      </c>
      <c r="K344" s="202">
        <f>22-8.5</f>
        <v>13.5</v>
      </c>
      <c r="L344" s="202">
        <v>22</v>
      </c>
      <c r="M344" s="202">
        <v>22</v>
      </c>
    </row>
    <row r="345" spans="1:13" ht="72" customHeight="1">
      <c r="A345" s="4"/>
      <c r="B345" s="16" t="s">
        <v>876</v>
      </c>
      <c r="C345" s="4" t="s">
        <v>867</v>
      </c>
      <c r="D345" s="4" t="s">
        <v>49</v>
      </c>
      <c r="E345" s="4" t="s">
        <v>875</v>
      </c>
      <c r="F345" s="4" t="s">
        <v>48</v>
      </c>
      <c r="G345" s="218" t="s">
        <v>877</v>
      </c>
      <c r="H345" s="120" t="s">
        <v>383</v>
      </c>
      <c r="I345" s="120" t="s">
        <v>878</v>
      </c>
      <c r="J345" s="202">
        <f>20+180</f>
        <v>200</v>
      </c>
      <c r="K345" s="202">
        <f>20+180</f>
        <v>200</v>
      </c>
      <c r="L345" s="202">
        <v>0</v>
      </c>
      <c r="M345" s="202">
        <v>0</v>
      </c>
    </row>
    <row r="346" spans="1:13" ht="45" customHeight="1">
      <c r="A346" s="90" t="s">
        <v>425</v>
      </c>
      <c r="B346" s="153" t="s">
        <v>426</v>
      </c>
      <c r="C346" s="90"/>
      <c r="D346" s="90"/>
      <c r="E346" s="90"/>
      <c r="F346" s="90"/>
      <c r="G346" s="154"/>
      <c r="H346" s="90"/>
      <c r="I346" s="155"/>
      <c r="J346" s="200">
        <f aca="true" t="shared" si="15" ref="J346:M348">J347</f>
        <v>557.6</v>
      </c>
      <c r="K346" s="200">
        <f t="shared" si="15"/>
        <v>557.6</v>
      </c>
      <c r="L346" s="200">
        <f t="shared" si="15"/>
        <v>557.6</v>
      </c>
      <c r="M346" s="200">
        <f t="shared" si="15"/>
        <v>557.6</v>
      </c>
    </row>
    <row r="347" spans="1:13" ht="45" customHeight="1">
      <c r="A347" s="4"/>
      <c r="B347" s="16" t="s">
        <v>151</v>
      </c>
      <c r="C347" s="69"/>
      <c r="D347" s="4"/>
      <c r="E347" s="4" t="s">
        <v>64</v>
      </c>
      <c r="F347" s="4"/>
      <c r="G347" s="152"/>
      <c r="H347" s="4"/>
      <c r="I347" s="119"/>
      <c r="J347" s="201">
        <f t="shared" si="15"/>
        <v>557.6</v>
      </c>
      <c r="K347" s="201">
        <f t="shared" si="15"/>
        <v>557.6</v>
      </c>
      <c r="L347" s="201">
        <f t="shared" si="15"/>
        <v>557.6</v>
      </c>
      <c r="M347" s="201">
        <f t="shared" si="15"/>
        <v>557.6</v>
      </c>
    </row>
    <row r="348" spans="1:13" ht="60" customHeight="1">
      <c r="A348" s="4"/>
      <c r="B348" s="11" t="s">
        <v>975</v>
      </c>
      <c r="C348" s="13"/>
      <c r="D348" s="4"/>
      <c r="E348" s="4" t="s">
        <v>976</v>
      </c>
      <c r="F348" s="4"/>
      <c r="G348" s="152"/>
      <c r="H348" s="4"/>
      <c r="I348" s="119"/>
      <c r="J348" s="201">
        <f>J349</f>
        <v>557.6</v>
      </c>
      <c r="K348" s="201">
        <f t="shared" si="15"/>
        <v>557.6</v>
      </c>
      <c r="L348" s="201">
        <f t="shared" si="15"/>
        <v>557.6</v>
      </c>
      <c r="M348" s="201">
        <f t="shared" si="15"/>
        <v>557.6</v>
      </c>
    </row>
    <row r="349" spans="1:13" ht="87" customHeight="1">
      <c r="A349" s="4"/>
      <c r="B349" s="11" t="s">
        <v>493</v>
      </c>
      <c r="C349" s="34" t="s">
        <v>863</v>
      </c>
      <c r="D349" s="4" t="s">
        <v>118</v>
      </c>
      <c r="E349" s="4" t="s">
        <v>974</v>
      </c>
      <c r="F349" s="4" t="s">
        <v>62</v>
      </c>
      <c r="G349" s="152" t="s">
        <v>749</v>
      </c>
      <c r="H349" s="4" t="s">
        <v>383</v>
      </c>
      <c r="I349" s="119" t="s">
        <v>706</v>
      </c>
      <c r="J349" s="201">
        <v>557.6</v>
      </c>
      <c r="K349" s="201">
        <v>557.6</v>
      </c>
      <c r="L349" s="201">
        <v>557.6</v>
      </c>
      <c r="M349" s="201">
        <v>557.6</v>
      </c>
    </row>
    <row r="350" spans="1:60" s="29" customFormat="1" ht="99.75" customHeight="1">
      <c r="A350" s="45" t="s">
        <v>170</v>
      </c>
      <c r="B350" s="46" t="s">
        <v>172</v>
      </c>
      <c r="C350" s="45"/>
      <c r="D350" s="45"/>
      <c r="E350" s="45"/>
      <c r="F350" s="47"/>
      <c r="G350" s="48"/>
      <c r="H350" s="49"/>
      <c r="I350" s="49"/>
      <c r="J350" s="199">
        <f>J351+J384+J410+J421</f>
        <v>111495.48535</v>
      </c>
      <c r="K350" s="199">
        <f>K351+K384+K410+K421</f>
        <v>111418.48535</v>
      </c>
      <c r="L350" s="199">
        <f>L351+L384+L410+L421</f>
        <v>110397.21222</v>
      </c>
      <c r="M350" s="199">
        <f>M351+M384+M410+M421</f>
        <v>107418.62378000001</v>
      </c>
      <c r="N350" s="79"/>
      <c r="O350" s="79"/>
      <c r="P350" s="79"/>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c r="AN350" s="79"/>
      <c r="AO350" s="79"/>
      <c r="AP350" s="79"/>
      <c r="AQ350" s="79"/>
      <c r="AR350" s="79"/>
      <c r="AS350" s="79"/>
      <c r="AT350" s="79"/>
      <c r="AU350" s="79"/>
      <c r="AV350" s="79"/>
      <c r="AW350" s="79"/>
      <c r="AX350" s="79"/>
      <c r="AY350" s="79"/>
      <c r="AZ350" s="79"/>
      <c r="BA350" s="79"/>
      <c r="BB350" s="79"/>
      <c r="BC350" s="79"/>
      <c r="BD350" s="79"/>
      <c r="BE350" s="79"/>
      <c r="BF350" s="79"/>
      <c r="BG350" s="79"/>
      <c r="BH350" s="79"/>
    </row>
    <row r="351" spans="1:13" ht="60" customHeight="1">
      <c r="A351" s="90" t="s">
        <v>161</v>
      </c>
      <c r="B351" s="101" t="s">
        <v>162</v>
      </c>
      <c r="C351" s="90"/>
      <c r="D351" s="90"/>
      <c r="E351" s="93"/>
      <c r="F351" s="90"/>
      <c r="G351" s="97"/>
      <c r="H351" s="102"/>
      <c r="I351" s="102"/>
      <c r="J351" s="200">
        <f>J352+J379+J367</f>
        <v>15507.16186</v>
      </c>
      <c r="K351" s="200">
        <f>K352+K379+K367</f>
        <v>15430.16186</v>
      </c>
      <c r="L351" s="200">
        <f>L352+L379+L367</f>
        <v>3446.08777</v>
      </c>
      <c r="M351" s="200">
        <f>M352+M379+M367</f>
        <v>3454.53557</v>
      </c>
    </row>
    <row r="352" spans="1:60" ht="30" customHeight="1">
      <c r="A352" s="4"/>
      <c r="B352" s="10" t="s">
        <v>138</v>
      </c>
      <c r="C352" s="4"/>
      <c r="D352" s="4"/>
      <c r="E352" s="4" t="s">
        <v>74</v>
      </c>
      <c r="F352" s="4"/>
      <c r="G352" s="34"/>
      <c r="H352" s="4"/>
      <c r="I352" s="4"/>
      <c r="J352" s="201">
        <f>J355+J354+J353</f>
        <v>8724.427160000001</v>
      </c>
      <c r="K352" s="201">
        <f>K355+K354+K353</f>
        <v>8724.427160000001</v>
      </c>
      <c r="L352" s="201">
        <f>L355+L354</f>
        <v>2046.52376</v>
      </c>
      <c r="M352" s="201">
        <f>M355+M354</f>
        <v>1500</v>
      </c>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row>
    <row r="353" spans="1:60" ht="30.75" customHeight="1">
      <c r="A353" s="4"/>
      <c r="B353" s="300" t="s">
        <v>675</v>
      </c>
      <c r="C353" s="34" t="s">
        <v>863</v>
      </c>
      <c r="D353" s="4" t="s">
        <v>10</v>
      </c>
      <c r="E353" s="4" t="s">
        <v>676</v>
      </c>
      <c r="F353" s="4" t="s">
        <v>44</v>
      </c>
      <c r="G353" s="296" t="s">
        <v>980</v>
      </c>
      <c r="H353" s="284" t="s">
        <v>104</v>
      </c>
      <c r="I353" s="284" t="s">
        <v>989</v>
      </c>
      <c r="J353" s="201">
        <v>580.39551</v>
      </c>
      <c r="K353" s="201">
        <v>580.39551</v>
      </c>
      <c r="L353" s="201">
        <v>0</v>
      </c>
      <c r="M353" s="201">
        <v>0</v>
      </c>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row>
    <row r="354" spans="1:60" ht="25.5" customHeight="1">
      <c r="A354" s="4"/>
      <c r="B354" s="301"/>
      <c r="C354" s="34" t="s">
        <v>863</v>
      </c>
      <c r="D354" s="4" t="s">
        <v>10</v>
      </c>
      <c r="E354" s="4" t="s">
        <v>676</v>
      </c>
      <c r="F354" s="4" t="s">
        <v>45</v>
      </c>
      <c r="G354" s="286"/>
      <c r="H354" s="286"/>
      <c r="I354" s="286"/>
      <c r="J354" s="201">
        <f>30+240</f>
        <v>270</v>
      </c>
      <c r="K354" s="201">
        <f>30+240</f>
        <v>270</v>
      </c>
      <c r="L354" s="201">
        <v>0</v>
      </c>
      <c r="M354" s="201">
        <v>0</v>
      </c>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row>
    <row r="355" spans="1:60" ht="30" customHeight="1">
      <c r="A355" s="4"/>
      <c r="B355" s="11" t="s">
        <v>359</v>
      </c>
      <c r="C355" s="34"/>
      <c r="D355" s="4"/>
      <c r="E355" s="4" t="s">
        <v>360</v>
      </c>
      <c r="F355" s="4"/>
      <c r="G355" s="34"/>
      <c r="H355" s="4"/>
      <c r="I355" s="4"/>
      <c r="J355" s="201">
        <f>J356+J358+J361+J362+J363+J365+J357+J360+J364+J359+J366</f>
        <v>7874.031650000001</v>
      </c>
      <c r="K355" s="201">
        <f>K356+K358+K361+K362+K363+K365+K357+K360+K364+K359+K366</f>
        <v>7874.031650000001</v>
      </c>
      <c r="L355" s="201">
        <f>L356+L358+L361+L362+L363+L365+L357+L360+L364+L359+L366</f>
        <v>2046.52376</v>
      </c>
      <c r="M355" s="201">
        <f>M356+M358+M361+M362+M363+M365+M357+M360+M364+M359+M366</f>
        <v>1500</v>
      </c>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row>
    <row r="356" spans="1:60" ht="45" customHeight="1">
      <c r="A356" s="4"/>
      <c r="B356" s="11" t="s">
        <v>361</v>
      </c>
      <c r="C356" s="34" t="s">
        <v>863</v>
      </c>
      <c r="D356" s="4" t="s">
        <v>433</v>
      </c>
      <c r="E356" s="4" t="s">
        <v>864</v>
      </c>
      <c r="F356" s="4" t="s">
        <v>44</v>
      </c>
      <c r="G356" s="293" t="s">
        <v>835</v>
      </c>
      <c r="H356" s="295" t="s">
        <v>460</v>
      </c>
      <c r="I356" s="284" t="s">
        <v>836</v>
      </c>
      <c r="J356" s="201">
        <f>880.5015+1137.36218</f>
        <v>2017.86368</v>
      </c>
      <c r="K356" s="201">
        <f>880.5015+1137.36218</f>
        <v>2017.86368</v>
      </c>
      <c r="L356" s="201">
        <v>0</v>
      </c>
      <c r="M356" s="201">
        <v>0</v>
      </c>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row>
    <row r="357" spans="1:60" ht="45" customHeight="1">
      <c r="A357" s="4"/>
      <c r="B357" s="11" t="s">
        <v>361</v>
      </c>
      <c r="C357" s="34" t="s">
        <v>863</v>
      </c>
      <c r="D357" s="4" t="s">
        <v>433</v>
      </c>
      <c r="E357" s="4" t="s">
        <v>864</v>
      </c>
      <c r="F357" s="4" t="s">
        <v>45</v>
      </c>
      <c r="G357" s="325"/>
      <c r="H357" s="339"/>
      <c r="I357" s="339"/>
      <c r="J357" s="201">
        <v>93.1063</v>
      </c>
      <c r="K357" s="201">
        <v>93.1063</v>
      </c>
      <c r="L357" s="201">
        <v>0</v>
      </c>
      <c r="M357" s="201">
        <v>0</v>
      </c>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row>
    <row r="358" spans="1:60" ht="33.75" customHeight="1">
      <c r="A358" s="4"/>
      <c r="B358" s="304" t="s">
        <v>668</v>
      </c>
      <c r="C358" s="34" t="s">
        <v>863</v>
      </c>
      <c r="D358" s="4" t="s">
        <v>433</v>
      </c>
      <c r="E358" s="4" t="s">
        <v>669</v>
      </c>
      <c r="F358" s="4" t="s">
        <v>44</v>
      </c>
      <c r="G358" s="293" t="s">
        <v>835</v>
      </c>
      <c r="H358" s="295" t="s">
        <v>460</v>
      </c>
      <c r="I358" s="284" t="s">
        <v>836</v>
      </c>
      <c r="J358" s="201">
        <f>2795.04164-48.71272-1.81092</f>
        <v>2744.518</v>
      </c>
      <c r="K358" s="201">
        <f>2795.04164-48.71272-1.81092</f>
        <v>2744.518</v>
      </c>
      <c r="L358" s="201">
        <v>0</v>
      </c>
      <c r="M358" s="201">
        <v>0</v>
      </c>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row>
    <row r="359" spans="1:60" ht="33.75" customHeight="1">
      <c r="A359" s="4"/>
      <c r="B359" s="305"/>
      <c r="C359" s="53" t="s">
        <v>5</v>
      </c>
      <c r="D359" s="120" t="s">
        <v>433</v>
      </c>
      <c r="E359" s="120" t="s">
        <v>669</v>
      </c>
      <c r="F359" s="120" t="s">
        <v>44</v>
      </c>
      <c r="G359" s="324"/>
      <c r="H359" s="310"/>
      <c r="I359" s="285"/>
      <c r="J359" s="202">
        <v>366</v>
      </c>
      <c r="K359" s="202">
        <v>366</v>
      </c>
      <c r="L359" s="201">
        <v>0</v>
      </c>
      <c r="M359" s="201">
        <v>0</v>
      </c>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row>
    <row r="360" spans="1:60" ht="29.25" customHeight="1">
      <c r="A360" s="4"/>
      <c r="B360" s="306"/>
      <c r="C360" s="34" t="s">
        <v>863</v>
      </c>
      <c r="D360" s="4" t="s">
        <v>10</v>
      </c>
      <c r="E360" s="4" t="s">
        <v>669</v>
      </c>
      <c r="F360" s="4" t="s">
        <v>44</v>
      </c>
      <c r="G360" s="325"/>
      <c r="H360" s="311"/>
      <c r="I360" s="288"/>
      <c r="J360" s="201">
        <v>27.6</v>
      </c>
      <c r="K360" s="201">
        <v>27.6</v>
      </c>
      <c r="L360" s="201">
        <v>0</v>
      </c>
      <c r="M360" s="201">
        <v>0</v>
      </c>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row>
    <row r="361" spans="1:60" ht="49.5" customHeight="1">
      <c r="A361" s="4"/>
      <c r="B361" s="11" t="s">
        <v>671</v>
      </c>
      <c r="C361" s="34" t="s">
        <v>863</v>
      </c>
      <c r="D361" s="4" t="s">
        <v>433</v>
      </c>
      <c r="E361" s="4" t="s">
        <v>670</v>
      </c>
      <c r="F361" s="4" t="s">
        <v>44</v>
      </c>
      <c r="G361" s="293" t="s">
        <v>750</v>
      </c>
      <c r="H361" s="295" t="s">
        <v>677</v>
      </c>
      <c r="I361" s="284" t="s">
        <v>229</v>
      </c>
      <c r="J361" s="201">
        <v>655</v>
      </c>
      <c r="K361" s="201">
        <v>655</v>
      </c>
      <c r="L361" s="201">
        <v>0</v>
      </c>
      <c r="M361" s="201">
        <v>0</v>
      </c>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row>
    <row r="362" spans="1:60" ht="30" customHeight="1">
      <c r="A362" s="4"/>
      <c r="B362" s="11" t="s">
        <v>672</v>
      </c>
      <c r="C362" s="34" t="s">
        <v>863</v>
      </c>
      <c r="D362" s="4" t="s">
        <v>433</v>
      </c>
      <c r="E362" s="4" t="s">
        <v>673</v>
      </c>
      <c r="F362" s="4" t="s">
        <v>44</v>
      </c>
      <c r="G362" s="325"/>
      <c r="H362" s="311"/>
      <c r="I362" s="288"/>
      <c r="J362" s="201">
        <f>487+1.81092</f>
        <v>488.81092</v>
      </c>
      <c r="K362" s="201">
        <f>487+1.81092</f>
        <v>488.81092</v>
      </c>
      <c r="L362" s="201">
        <v>0</v>
      </c>
      <c r="M362" s="201">
        <v>0</v>
      </c>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row>
    <row r="363" spans="1:60" ht="25.5" customHeight="1">
      <c r="A363" s="4"/>
      <c r="B363" s="337" t="s">
        <v>105</v>
      </c>
      <c r="C363" s="34" t="s">
        <v>863</v>
      </c>
      <c r="D363" s="4" t="s">
        <v>10</v>
      </c>
      <c r="E363" s="4" t="s">
        <v>150</v>
      </c>
      <c r="F363" s="4" t="s">
        <v>44</v>
      </c>
      <c r="G363" s="274" t="s">
        <v>593</v>
      </c>
      <c r="H363" s="280" t="s">
        <v>127</v>
      </c>
      <c r="I363" s="278" t="s">
        <v>419</v>
      </c>
      <c r="J363" s="201">
        <v>740</v>
      </c>
      <c r="K363" s="201">
        <v>740</v>
      </c>
      <c r="L363" s="201">
        <v>1500</v>
      </c>
      <c r="M363" s="201">
        <v>1500</v>
      </c>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row>
    <row r="364" spans="1:60" ht="62.25" customHeight="1">
      <c r="A364" s="4"/>
      <c r="B364" s="333"/>
      <c r="C364" s="34" t="s">
        <v>682</v>
      </c>
      <c r="D364" s="4" t="s">
        <v>10</v>
      </c>
      <c r="E364" s="4" t="s">
        <v>150</v>
      </c>
      <c r="F364" s="4" t="s">
        <v>44</v>
      </c>
      <c r="G364" s="286"/>
      <c r="H364" s="286"/>
      <c r="I364" s="286"/>
      <c r="J364" s="201">
        <v>400</v>
      </c>
      <c r="K364" s="201">
        <v>400</v>
      </c>
      <c r="L364" s="201">
        <v>0</v>
      </c>
      <c r="M364" s="201">
        <v>0</v>
      </c>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row>
    <row r="365" spans="1:60" ht="45" customHeight="1">
      <c r="A365" s="4"/>
      <c r="B365" s="11" t="s">
        <v>696</v>
      </c>
      <c r="C365" s="34" t="s">
        <v>863</v>
      </c>
      <c r="D365" s="4" t="s">
        <v>433</v>
      </c>
      <c r="E365" s="4" t="s">
        <v>674</v>
      </c>
      <c r="F365" s="4" t="s">
        <v>44</v>
      </c>
      <c r="G365" s="34" t="s">
        <v>750</v>
      </c>
      <c r="H365" s="57" t="s">
        <v>677</v>
      </c>
      <c r="I365" s="7" t="s">
        <v>229</v>
      </c>
      <c r="J365" s="202">
        <f>667.7-326.56725</f>
        <v>341.13275000000004</v>
      </c>
      <c r="K365" s="201">
        <f>667.7-326.56725</f>
        <v>341.13275000000004</v>
      </c>
      <c r="L365" s="201">
        <v>0</v>
      </c>
      <c r="M365" s="201">
        <v>0</v>
      </c>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row>
    <row r="366" spans="1:60" ht="45" customHeight="1">
      <c r="A366" s="4"/>
      <c r="B366" s="272" t="s">
        <v>705</v>
      </c>
      <c r="C366" s="53" t="s">
        <v>863</v>
      </c>
      <c r="D366" s="120" t="s">
        <v>433</v>
      </c>
      <c r="E366" s="262" t="s">
        <v>1041</v>
      </c>
      <c r="F366" s="120" t="s">
        <v>44</v>
      </c>
      <c r="G366" s="266" t="s">
        <v>751</v>
      </c>
      <c r="H366" s="267" t="s">
        <v>439</v>
      </c>
      <c r="I366" s="109" t="s">
        <v>434</v>
      </c>
      <c r="J366" s="202">
        <v>0</v>
      </c>
      <c r="K366" s="202">
        <v>0</v>
      </c>
      <c r="L366" s="202">
        <v>546.52376</v>
      </c>
      <c r="M366" s="202">
        <v>0</v>
      </c>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row>
    <row r="367" spans="1:60" ht="45" customHeight="1">
      <c r="A367" s="4"/>
      <c r="B367" s="69" t="s">
        <v>697</v>
      </c>
      <c r="C367" s="4"/>
      <c r="D367" s="4"/>
      <c r="E367" s="4" t="s">
        <v>440</v>
      </c>
      <c r="F367" s="4"/>
      <c r="G367" s="110"/>
      <c r="H367" s="169"/>
      <c r="I367" s="3"/>
      <c r="J367" s="201">
        <f>J375+J368+J370+J376+J374+J378+J371+J372+J373+J369+J377</f>
        <v>2220.3234799999996</v>
      </c>
      <c r="K367" s="201">
        <f>K375+K368+K370+K376+K374+K378+K371+K372+K373+K369+K377</f>
        <v>2143.32348</v>
      </c>
      <c r="L367" s="201">
        <f>L375+L368+L370+L376+L374+L378+L371+L372+L373+L369+L377</f>
        <v>0</v>
      </c>
      <c r="M367" s="201">
        <f>M375+M368+M370+M376+M374+M378+M371+M372+M373+M369+M377</f>
        <v>0</v>
      </c>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row>
    <row r="368" spans="1:60" ht="36" customHeight="1">
      <c r="A368" s="4"/>
      <c r="B368" s="300" t="s">
        <v>681</v>
      </c>
      <c r="C368" s="4" t="s">
        <v>682</v>
      </c>
      <c r="D368" s="4" t="s">
        <v>683</v>
      </c>
      <c r="E368" s="4" t="s">
        <v>684</v>
      </c>
      <c r="F368" s="4" t="s">
        <v>44</v>
      </c>
      <c r="G368" s="293" t="s">
        <v>835</v>
      </c>
      <c r="H368" s="295" t="s">
        <v>460</v>
      </c>
      <c r="I368" s="284" t="s">
        <v>836</v>
      </c>
      <c r="J368" s="201">
        <v>264.8</v>
      </c>
      <c r="K368" s="201">
        <v>187.8</v>
      </c>
      <c r="L368" s="201">
        <v>0</v>
      </c>
      <c r="M368" s="201">
        <v>0</v>
      </c>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row>
    <row r="369" spans="1:60" ht="36" customHeight="1">
      <c r="A369" s="4"/>
      <c r="B369" s="301"/>
      <c r="C369" s="4" t="s">
        <v>682</v>
      </c>
      <c r="D369" s="4" t="s">
        <v>683</v>
      </c>
      <c r="E369" s="4" t="s">
        <v>684</v>
      </c>
      <c r="F369" s="4" t="s">
        <v>45</v>
      </c>
      <c r="G369" s="324"/>
      <c r="H369" s="310"/>
      <c r="I369" s="285"/>
      <c r="J369" s="201">
        <v>2.0625</v>
      </c>
      <c r="K369" s="201">
        <v>2.0625</v>
      </c>
      <c r="L369" s="201">
        <v>0</v>
      </c>
      <c r="M369" s="201">
        <v>0</v>
      </c>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row>
    <row r="370" spans="1:60" ht="45" customHeight="1">
      <c r="A370" s="4"/>
      <c r="B370" s="331" t="s">
        <v>868</v>
      </c>
      <c r="C370" s="4" t="s">
        <v>867</v>
      </c>
      <c r="D370" s="4" t="s">
        <v>433</v>
      </c>
      <c r="E370" s="4" t="s">
        <v>869</v>
      </c>
      <c r="F370" s="4" t="s">
        <v>44</v>
      </c>
      <c r="G370" s="324"/>
      <c r="H370" s="310"/>
      <c r="I370" s="285"/>
      <c r="J370" s="202">
        <f>203+291.924+245+98.649+140.94795</f>
        <v>979.52095</v>
      </c>
      <c r="K370" s="202">
        <f>203+291.924+245+98.649+140.94795</f>
        <v>979.52095</v>
      </c>
      <c r="L370" s="202">
        <v>0</v>
      </c>
      <c r="M370" s="202">
        <v>0</v>
      </c>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row>
    <row r="371" spans="1:60" ht="15" customHeight="1">
      <c r="A371" s="4"/>
      <c r="B371" s="338"/>
      <c r="C371" s="4" t="s">
        <v>867</v>
      </c>
      <c r="D371" s="4" t="s">
        <v>433</v>
      </c>
      <c r="E371" s="4" t="s">
        <v>869</v>
      </c>
      <c r="F371" s="4" t="s">
        <v>45</v>
      </c>
      <c r="G371" s="324"/>
      <c r="H371" s="310"/>
      <c r="I371" s="285"/>
      <c r="J371" s="202">
        <f>0.00598+1.5</f>
        <v>1.50598</v>
      </c>
      <c r="K371" s="202">
        <f>0.00598+1.5</f>
        <v>1.50598</v>
      </c>
      <c r="L371" s="202">
        <v>0</v>
      </c>
      <c r="M371" s="202">
        <v>0</v>
      </c>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row>
    <row r="372" spans="1:60" ht="25.5" customHeight="1">
      <c r="A372" s="4"/>
      <c r="B372" s="331" t="s">
        <v>865</v>
      </c>
      <c r="C372" s="34" t="s">
        <v>863</v>
      </c>
      <c r="D372" s="4" t="s">
        <v>433</v>
      </c>
      <c r="E372" s="221" t="s">
        <v>776</v>
      </c>
      <c r="F372" s="4" t="s">
        <v>44</v>
      </c>
      <c r="G372" s="324"/>
      <c r="H372" s="310"/>
      <c r="I372" s="285"/>
      <c r="J372" s="202">
        <v>18.792</v>
      </c>
      <c r="K372" s="202">
        <v>18.792</v>
      </c>
      <c r="L372" s="202">
        <v>0</v>
      </c>
      <c r="M372" s="202">
        <v>0</v>
      </c>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row>
    <row r="373" spans="1:60" ht="25.5" customHeight="1">
      <c r="A373" s="4"/>
      <c r="B373" s="332"/>
      <c r="C373" s="34" t="s">
        <v>863</v>
      </c>
      <c r="D373" s="4" t="s">
        <v>433</v>
      </c>
      <c r="E373" s="221" t="s">
        <v>776</v>
      </c>
      <c r="F373" s="4" t="s">
        <v>844</v>
      </c>
      <c r="G373" s="324"/>
      <c r="H373" s="310"/>
      <c r="I373" s="285"/>
      <c r="J373" s="202">
        <v>5.4</v>
      </c>
      <c r="K373" s="202">
        <v>5.4</v>
      </c>
      <c r="L373" s="202">
        <v>0</v>
      </c>
      <c r="M373" s="202">
        <v>0</v>
      </c>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row>
    <row r="374" spans="1:60" ht="25.5" customHeight="1">
      <c r="A374" s="4"/>
      <c r="B374" s="333"/>
      <c r="C374" s="34" t="s">
        <v>863</v>
      </c>
      <c r="D374" s="4" t="s">
        <v>433</v>
      </c>
      <c r="E374" s="221" t="s">
        <v>776</v>
      </c>
      <c r="F374" s="4" t="s">
        <v>45</v>
      </c>
      <c r="G374" s="324"/>
      <c r="H374" s="310"/>
      <c r="I374" s="285"/>
      <c r="J374" s="201">
        <v>119.95387</v>
      </c>
      <c r="K374" s="201">
        <v>119.95387</v>
      </c>
      <c r="L374" s="201">
        <v>0</v>
      </c>
      <c r="M374" s="201">
        <v>0</v>
      </c>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row>
    <row r="375" spans="1:60" ht="45" customHeight="1">
      <c r="A375" s="4"/>
      <c r="B375" s="16" t="s">
        <v>605</v>
      </c>
      <c r="C375" s="4" t="s">
        <v>5</v>
      </c>
      <c r="D375" s="4" t="s">
        <v>10</v>
      </c>
      <c r="E375" s="4" t="s">
        <v>856</v>
      </c>
      <c r="F375" s="4" t="s">
        <v>44</v>
      </c>
      <c r="G375" s="324"/>
      <c r="H375" s="310"/>
      <c r="I375" s="285"/>
      <c r="J375" s="201">
        <f>315.2+70+0.76037-61.72</f>
        <v>324.24037</v>
      </c>
      <c r="K375" s="201">
        <f>315.2+70+0.76037-61.72</f>
        <v>324.24037</v>
      </c>
      <c r="L375" s="201">
        <v>0</v>
      </c>
      <c r="M375" s="201">
        <v>0</v>
      </c>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row>
    <row r="376" spans="1:60" ht="21" customHeight="1">
      <c r="A376" s="278"/>
      <c r="B376" s="307" t="s">
        <v>831</v>
      </c>
      <c r="C376" s="198" t="s">
        <v>829</v>
      </c>
      <c r="D376" s="120" t="s">
        <v>10</v>
      </c>
      <c r="E376" s="120" t="s">
        <v>832</v>
      </c>
      <c r="F376" s="197" t="s">
        <v>44</v>
      </c>
      <c r="G376" s="324"/>
      <c r="H376" s="310"/>
      <c r="I376" s="285"/>
      <c r="J376" s="201">
        <f>441.1+141.9-131.7+52.59398-0.5</f>
        <v>503.39398</v>
      </c>
      <c r="K376" s="201">
        <f>441.1+141.9-131.7+52.59398-0.5</f>
        <v>503.39398</v>
      </c>
      <c r="L376" s="202">
        <v>0</v>
      </c>
      <c r="M376" s="202">
        <v>0</v>
      </c>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row>
    <row r="377" spans="1:60" ht="21" customHeight="1">
      <c r="A377" s="287"/>
      <c r="B377" s="308"/>
      <c r="C377" s="253" t="s">
        <v>829</v>
      </c>
      <c r="D377" s="120" t="s">
        <v>10</v>
      </c>
      <c r="E377" s="120" t="s">
        <v>832</v>
      </c>
      <c r="F377" s="252" t="s">
        <v>844</v>
      </c>
      <c r="G377" s="324"/>
      <c r="H377" s="310"/>
      <c r="I377" s="285"/>
      <c r="J377" s="201">
        <v>0</v>
      </c>
      <c r="K377" s="201">
        <v>0</v>
      </c>
      <c r="L377" s="202">
        <v>0</v>
      </c>
      <c r="M377" s="202">
        <v>0</v>
      </c>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row>
    <row r="378" spans="1:60" ht="21" customHeight="1">
      <c r="A378" s="279"/>
      <c r="B378" s="309"/>
      <c r="C378" s="225" t="s">
        <v>829</v>
      </c>
      <c r="D378" s="120" t="s">
        <v>10</v>
      </c>
      <c r="E378" s="120" t="s">
        <v>832</v>
      </c>
      <c r="F378" s="223" t="s">
        <v>45</v>
      </c>
      <c r="G378" s="325"/>
      <c r="H378" s="311"/>
      <c r="I378" s="288"/>
      <c r="J378" s="201">
        <v>0.65383</v>
      </c>
      <c r="K378" s="201">
        <v>0.65383</v>
      </c>
      <c r="L378" s="202">
        <v>0</v>
      </c>
      <c r="M378" s="202">
        <v>0</v>
      </c>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row>
    <row r="379" spans="1:60" ht="45" customHeight="1">
      <c r="A379" s="4"/>
      <c r="B379" s="59" t="s">
        <v>697</v>
      </c>
      <c r="C379" s="4"/>
      <c r="D379" s="4"/>
      <c r="E379" s="4" t="s">
        <v>78</v>
      </c>
      <c r="F379" s="4"/>
      <c r="G379" s="110"/>
      <c r="H379" s="169"/>
      <c r="I379" s="3"/>
      <c r="J379" s="201">
        <f>J380+J382+J381+J383</f>
        <v>4562.41122</v>
      </c>
      <c r="K379" s="201">
        <f>K380+K382+K381+K383</f>
        <v>4562.41122</v>
      </c>
      <c r="L379" s="201">
        <f>L380+L382+L381+L383</f>
        <v>1399.56401</v>
      </c>
      <c r="M379" s="201">
        <f>M380+M382+M381+M383</f>
        <v>1954.53557</v>
      </c>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row>
    <row r="380" spans="1:60" ht="59.25" customHeight="1">
      <c r="A380" s="4"/>
      <c r="B380" s="16" t="s">
        <v>704</v>
      </c>
      <c r="C380" s="34" t="s">
        <v>863</v>
      </c>
      <c r="D380" s="4" t="s">
        <v>6</v>
      </c>
      <c r="E380" s="4" t="s">
        <v>149</v>
      </c>
      <c r="F380" s="4" t="s">
        <v>7</v>
      </c>
      <c r="G380" s="5" t="s">
        <v>973</v>
      </c>
      <c r="H380" s="7" t="s">
        <v>383</v>
      </c>
      <c r="I380" s="7" t="s">
        <v>990</v>
      </c>
      <c r="J380" s="201">
        <f>1925.74014-488.32764-784.858</f>
        <v>652.5545000000002</v>
      </c>
      <c r="K380" s="201">
        <f>1925.74014-488.32764-784.858</f>
        <v>652.5545000000002</v>
      </c>
      <c r="L380" s="201">
        <f>939.44822-622.88421</f>
        <v>316.56400999999994</v>
      </c>
      <c r="M380" s="201">
        <v>871.53557</v>
      </c>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row>
    <row r="381" spans="1:60" ht="36" customHeight="1">
      <c r="A381" s="4"/>
      <c r="B381" s="11" t="s">
        <v>805</v>
      </c>
      <c r="C381" s="34" t="s">
        <v>863</v>
      </c>
      <c r="D381" s="4" t="s">
        <v>10</v>
      </c>
      <c r="E381" s="4" t="s">
        <v>804</v>
      </c>
      <c r="F381" s="4" t="s">
        <v>45</v>
      </c>
      <c r="G381" s="5" t="s">
        <v>834</v>
      </c>
      <c r="H381" s="7" t="s">
        <v>383</v>
      </c>
      <c r="I381" s="7" t="s">
        <v>866</v>
      </c>
      <c r="J381" s="201">
        <f>539.25+48.71272+200.95</f>
        <v>788.91272</v>
      </c>
      <c r="K381" s="201">
        <f>539.25+48.71272+200.95</f>
        <v>788.91272</v>
      </c>
      <c r="L381" s="201">
        <v>0</v>
      </c>
      <c r="M381" s="201">
        <v>0</v>
      </c>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row>
    <row r="382" spans="1:60" ht="75.75" customHeight="1">
      <c r="A382" s="4"/>
      <c r="B382" s="10" t="s">
        <v>591</v>
      </c>
      <c r="C382" s="4" t="s">
        <v>867</v>
      </c>
      <c r="D382" s="4" t="s">
        <v>10</v>
      </c>
      <c r="E382" s="4" t="s">
        <v>410</v>
      </c>
      <c r="F382" s="4" t="s">
        <v>62</v>
      </c>
      <c r="G382" s="171" t="s">
        <v>411</v>
      </c>
      <c r="H382" s="7" t="s">
        <v>104</v>
      </c>
      <c r="I382" s="7" t="s">
        <v>412</v>
      </c>
      <c r="J382" s="202">
        <f>1083+430.56+20</f>
        <v>1533.56</v>
      </c>
      <c r="K382" s="202">
        <f>1083+430.56+20</f>
        <v>1533.56</v>
      </c>
      <c r="L382" s="202">
        <v>1083</v>
      </c>
      <c r="M382" s="202">
        <v>1083</v>
      </c>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row>
    <row r="383" spans="1:60" ht="48.75" customHeight="1">
      <c r="A383" s="4"/>
      <c r="B383" s="228" t="s">
        <v>908</v>
      </c>
      <c r="C383" s="34" t="s">
        <v>863</v>
      </c>
      <c r="D383" s="4" t="s">
        <v>10</v>
      </c>
      <c r="E383" s="4" t="s">
        <v>909</v>
      </c>
      <c r="F383" s="4" t="s">
        <v>44</v>
      </c>
      <c r="G383" s="5" t="s">
        <v>910</v>
      </c>
      <c r="H383" s="7" t="s">
        <v>383</v>
      </c>
      <c r="I383" s="7" t="s">
        <v>911</v>
      </c>
      <c r="J383" s="201">
        <f>1595.484-8.1</f>
        <v>1587.384</v>
      </c>
      <c r="K383" s="201">
        <f>1595.484-8.1</f>
        <v>1587.384</v>
      </c>
      <c r="L383" s="201">
        <v>0</v>
      </c>
      <c r="M383" s="201">
        <v>0</v>
      </c>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row>
    <row r="384" spans="1:60" ht="60" customHeight="1">
      <c r="A384" s="90" t="s">
        <v>163</v>
      </c>
      <c r="B384" s="101" t="s">
        <v>164</v>
      </c>
      <c r="C384" s="90"/>
      <c r="D384" s="90"/>
      <c r="E384" s="93"/>
      <c r="F384" s="90"/>
      <c r="G384" s="97"/>
      <c r="H384" s="102"/>
      <c r="I384" s="102"/>
      <c r="J384" s="200">
        <f>J385+J393</f>
        <v>54476.27136</v>
      </c>
      <c r="K384" s="200">
        <f>K385+K393</f>
        <v>54476.27136</v>
      </c>
      <c r="L384" s="200">
        <f>L385+L393</f>
        <v>79815.87624</v>
      </c>
      <c r="M384" s="200">
        <f>M385+M393</f>
        <v>78359.73999999999</v>
      </c>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row>
    <row r="385" spans="1:60" ht="30" customHeight="1">
      <c r="A385" s="4"/>
      <c r="B385" s="11" t="s">
        <v>358</v>
      </c>
      <c r="C385" s="4"/>
      <c r="D385" s="4"/>
      <c r="E385" s="4" t="s">
        <v>74</v>
      </c>
      <c r="F385" s="4"/>
      <c r="G385" s="5"/>
      <c r="H385" s="7"/>
      <c r="I385" s="6"/>
      <c r="J385" s="201">
        <f>J389+J386</f>
        <v>19942.93302</v>
      </c>
      <c r="K385" s="201">
        <f>K389+K386</f>
        <v>19942.93302</v>
      </c>
      <c r="L385" s="201">
        <f>L389+L386</f>
        <v>79815.87624</v>
      </c>
      <c r="M385" s="201">
        <f>M389+M386</f>
        <v>78359.73999999999</v>
      </c>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row>
    <row r="386" spans="1:60" ht="30" customHeight="1">
      <c r="A386" s="4"/>
      <c r="B386" s="17" t="s">
        <v>666</v>
      </c>
      <c r="C386" s="4"/>
      <c r="D386" s="4"/>
      <c r="E386" s="4" t="s">
        <v>667</v>
      </c>
      <c r="F386" s="4"/>
      <c r="G386" s="5"/>
      <c r="H386" s="7"/>
      <c r="I386" s="6"/>
      <c r="J386" s="201">
        <f>J388+J387</f>
        <v>87.798</v>
      </c>
      <c r="K386" s="201">
        <f>K388+K387</f>
        <v>87.798</v>
      </c>
      <c r="L386" s="201">
        <f>L388</f>
        <v>0</v>
      </c>
      <c r="M386" s="201">
        <f>M388</f>
        <v>0</v>
      </c>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row>
    <row r="387" spans="1:60" ht="49.5" customHeight="1">
      <c r="A387" s="4"/>
      <c r="B387" s="302" t="s">
        <v>664</v>
      </c>
      <c r="C387" s="53" t="s">
        <v>859</v>
      </c>
      <c r="D387" s="120" t="s">
        <v>463</v>
      </c>
      <c r="E387" s="120" t="s">
        <v>665</v>
      </c>
      <c r="F387" s="120" t="s">
        <v>43</v>
      </c>
      <c r="G387" s="266" t="s">
        <v>750</v>
      </c>
      <c r="H387" s="267" t="s">
        <v>677</v>
      </c>
      <c r="I387" s="267" t="s">
        <v>229</v>
      </c>
      <c r="J387" s="202">
        <v>5.6</v>
      </c>
      <c r="K387" s="202">
        <v>5.6</v>
      </c>
      <c r="L387" s="202">
        <v>0</v>
      </c>
      <c r="M387" s="201">
        <v>0</v>
      </c>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row>
    <row r="388" spans="1:60" ht="36.75" customHeight="1">
      <c r="A388" s="4"/>
      <c r="B388" s="303"/>
      <c r="C388" s="53" t="s">
        <v>863</v>
      </c>
      <c r="D388" s="120" t="s">
        <v>433</v>
      </c>
      <c r="E388" s="120" t="s">
        <v>665</v>
      </c>
      <c r="F388" s="120" t="s">
        <v>43</v>
      </c>
      <c r="G388" s="273" t="s">
        <v>678</v>
      </c>
      <c r="H388" s="57" t="s">
        <v>104</v>
      </c>
      <c r="I388" s="57" t="s">
        <v>679</v>
      </c>
      <c r="J388" s="202">
        <f>46.9+35.298</f>
        <v>82.19800000000001</v>
      </c>
      <c r="K388" s="202">
        <f>46.9+35.298</f>
        <v>82.19800000000001</v>
      </c>
      <c r="L388" s="201">
        <v>0</v>
      </c>
      <c r="M388" s="201">
        <v>0</v>
      </c>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row>
    <row r="389" spans="1:60" ht="30" customHeight="1">
      <c r="A389" s="4"/>
      <c r="B389" s="11" t="s">
        <v>359</v>
      </c>
      <c r="C389" s="4"/>
      <c r="D389" s="4"/>
      <c r="E389" s="4" t="s">
        <v>360</v>
      </c>
      <c r="F389" s="4"/>
      <c r="G389" s="5"/>
      <c r="H389" s="7"/>
      <c r="I389" s="6"/>
      <c r="J389" s="201">
        <f>J390+J391+J392</f>
        <v>19855.13502</v>
      </c>
      <c r="K389" s="201">
        <f>K390+K391+K392</f>
        <v>19855.13502</v>
      </c>
      <c r="L389" s="201">
        <f>L390+L391+L392</f>
        <v>79815.87624</v>
      </c>
      <c r="M389" s="201">
        <f>M390+M391+M392</f>
        <v>78359.73999999999</v>
      </c>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row>
    <row r="390" spans="1:60" ht="45" customHeight="1">
      <c r="A390" s="4"/>
      <c r="B390" s="11" t="s">
        <v>361</v>
      </c>
      <c r="C390" s="34" t="s">
        <v>863</v>
      </c>
      <c r="D390" s="4" t="s">
        <v>433</v>
      </c>
      <c r="E390" s="4" t="s">
        <v>864</v>
      </c>
      <c r="F390" s="4" t="s">
        <v>43</v>
      </c>
      <c r="G390" s="5" t="s">
        <v>751</v>
      </c>
      <c r="H390" s="57" t="s">
        <v>120</v>
      </c>
      <c r="I390" s="7" t="s">
        <v>434</v>
      </c>
      <c r="J390" s="203">
        <f>20921.48356-10.898-1579.75791</f>
        <v>19330.82765</v>
      </c>
      <c r="K390" s="203">
        <f>20921.48356-10.898-1579.75791</f>
        <v>19330.82765</v>
      </c>
      <c r="L390" s="203">
        <v>0</v>
      </c>
      <c r="M390" s="203">
        <v>0</v>
      </c>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row>
    <row r="391" spans="1:60" ht="49.5" customHeight="1">
      <c r="A391" s="4"/>
      <c r="B391" s="11" t="s">
        <v>668</v>
      </c>
      <c r="C391" s="34" t="s">
        <v>863</v>
      </c>
      <c r="D391" s="4" t="s">
        <v>10</v>
      </c>
      <c r="E391" s="4" t="s">
        <v>669</v>
      </c>
      <c r="F391" s="4" t="s">
        <v>43</v>
      </c>
      <c r="G391" s="110" t="s">
        <v>981</v>
      </c>
      <c r="H391" s="3" t="s">
        <v>982</v>
      </c>
      <c r="I391" s="3" t="s">
        <v>989</v>
      </c>
      <c r="J391" s="201">
        <v>275.9</v>
      </c>
      <c r="K391" s="201">
        <v>275.9</v>
      </c>
      <c r="L391" s="203">
        <v>0</v>
      </c>
      <c r="M391" s="203">
        <v>0</v>
      </c>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row>
    <row r="392" spans="1:60" ht="43.5" customHeight="1">
      <c r="A392" s="4"/>
      <c r="B392" s="129" t="s">
        <v>705</v>
      </c>
      <c r="C392" s="34" t="s">
        <v>863</v>
      </c>
      <c r="D392" s="4" t="s">
        <v>433</v>
      </c>
      <c r="E392" s="3" t="s">
        <v>698</v>
      </c>
      <c r="F392" s="4" t="s">
        <v>43</v>
      </c>
      <c r="G392" s="105" t="s">
        <v>751</v>
      </c>
      <c r="H392" s="267" t="s">
        <v>120</v>
      </c>
      <c r="I392" s="109" t="s">
        <v>434</v>
      </c>
      <c r="J392" s="201">
        <v>248.40737</v>
      </c>
      <c r="K392" s="201">
        <v>248.40737</v>
      </c>
      <c r="L392" s="201">
        <f>80362.4-546.52376</f>
        <v>79815.87624</v>
      </c>
      <c r="M392" s="201">
        <f>80362.4-2002.66</f>
        <v>78359.73999999999</v>
      </c>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row>
    <row r="393" spans="1:60" ht="45" customHeight="1">
      <c r="A393" s="4"/>
      <c r="B393" s="69" t="s">
        <v>697</v>
      </c>
      <c r="C393" s="4"/>
      <c r="D393" s="4"/>
      <c r="E393" s="4" t="s">
        <v>440</v>
      </c>
      <c r="F393" s="4"/>
      <c r="G393" s="5"/>
      <c r="H393" s="7"/>
      <c r="I393" s="6"/>
      <c r="J393" s="259">
        <f>SUM(J394:J409)</f>
        <v>34533.33834</v>
      </c>
      <c r="K393" s="259">
        <f>SUM(K394:K409)</f>
        <v>34533.33834</v>
      </c>
      <c r="L393" s="259">
        <f>SUM(L394:L405)</f>
        <v>0</v>
      </c>
      <c r="M393" s="259">
        <f>SUM(M394:M405)</f>
        <v>0</v>
      </c>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row>
    <row r="394" spans="1:13" ht="68.25" customHeight="1">
      <c r="A394" s="4"/>
      <c r="B394" s="11" t="s">
        <v>663</v>
      </c>
      <c r="C394" s="34" t="s">
        <v>863</v>
      </c>
      <c r="D394" s="4" t="s">
        <v>661</v>
      </c>
      <c r="E394" s="14" t="s">
        <v>662</v>
      </c>
      <c r="F394" s="4" t="s">
        <v>43</v>
      </c>
      <c r="G394" s="5" t="s">
        <v>983</v>
      </c>
      <c r="H394" s="7" t="s">
        <v>984</v>
      </c>
      <c r="I394" s="6" t="s">
        <v>985</v>
      </c>
      <c r="J394" s="201">
        <v>2503.4</v>
      </c>
      <c r="K394" s="201">
        <v>2503.4</v>
      </c>
      <c r="L394" s="201">
        <v>0</v>
      </c>
      <c r="M394" s="201">
        <v>0</v>
      </c>
    </row>
    <row r="395" spans="1:13" ht="68.25" customHeight="1">
      <c r="A395" s="4"/>
      <c r="B395" s="5" t="s">
        <v>1012</v>
      </c>
      <c r="C395" s="34" t="s">
        <v>863</v>
      </c>
      <c r="D395" s="4" t="s">
        <v>661</v>
      </c>
      <c r="E395" s="14" t="s">
        <v>1011</v>
      </c>
      <c r="F395" s="4" t="s">
        <v>43</v>
      </c>
      <c r="G395" s="5" t="s">
        <v>1046</v>
      </c>
      <c r="H395" s="7" t="s">
        <v>383</v>
      </c>
      <c r="I395" s="6" t="s">
        <v>1047</v>
      </c>
      <c r="J395" s="201">
        <v>78.26</v>
      </c>
      <c r="K395" s="201">
        <v>78.26</v>
      </c>
      <c r="L395" s="201">
        <v>0</v>
      </c>
      <c r="M395" s="201">
        <v>0</v>
      </c>
    </row>
    <row r="396" spans="1:13" ht="48" customHeight="1">
      <c r="A396" s="4"/>
      <c r="B396" s="11" t="s">
        <v>681</v>
      </c>
      <c r="C396" s="4" t="s">
        <v>682</v>
      </c>
      <c r="D396" s="4" t="s">
        <v>683</v>
      </c>
      <c r="E396" s="4" t="s">
        <v>684</v>
      </c>
      <c r="F396" s="4" t="s">
        <v>43</v>
      </c>
      <c r="G396" s="5" t="s">
        <v>752</v>
      </c>
      <c r="H396" s="7" t="s">
        <v>695</v>
      </c>
      <c r="I396" s="6" t="s">
        <v>434</v>
      </c>
      <c r="J396" s="201">
        <v>2606.8375</v>
      </c>
      <c r="K396" s="201">
        <v>2606.8375</v>
      </c>
      <c r="L396" s="201">
        <v>0</v>
      </c>
      <c r="M396" s="201">
        <v>0</v>
      </c>
    </row>
    <row r="397" spans="1:13" ht="45" customHeight="1">
      <c r="A397" s="4"/>
      <c r="B397" s="16" t="s">
        <v>868</v>
      </c>
      <c r="C397" s="4" t="s">
        <v>867</v>
      </c>
      <c r="D397" s="4" t="s">
        <v>433</v>
      </c>
      <c r="E397" s="4" t="s">
        <v>869</v>
      </c>
      <c r="F397" s="4" t="s">
        <v>43</v>
      </c>
      <c r="G397" s="293" t="s">
        <v>803</v>
      </c>
      <c r="H397" s="295" t="s">
        <v>383</v>
      </c>
      <c r="I397" s="284" t="s">
        <v>434</v>
      </c>
      <c r="J397" s="202">
        <f>744.3+109.58294+1043.876+7214.8-0.00598-246.5-98.649+64.05205</f>
        <v>8831.456010000002</v>
      </c>
      <c r="K397" s="202">
        <f>9112.55894-0.00598-246.5-98.649+64.05205</f>
        <v>8831.456010000002</v>
      </c>
      <c r="L397" s="202">
        <v>0</v>
      </c>
      <c r="M397" s="202">
        <v>0</v>
      </c>
    </row>
    <row r="398" spans="1:13" ht="45" customHeight="1">
      <c r="A398" s="4"/>
      <c r="B398" s="16" t="s">
        <v>605</v>
      </c>
      <c r="C398" s="4" t="s">
        <v>5</v>
      </c>
      <c r="D398" s="4" t="s">
        <v>10</v>
      </c>
      <c r="E398" s="4" t="s">
        <v>856</v>
      </c>
      <c r="F398" s="4" t="s">
        <v>43</v>
      </c>
      <c r="G398" s="324"/>
      <c r="H398" s="310"/>
      <c r="I398" s="285"/>
      <c r="J398" s="202">
        <f>1094.3+63.72972+5632.1+11.72</f>
        <v>6801.849720000001</v>
      </c>
      <c r="K398" s="202">
        <f>1094.3+63.72972+5632.1+11.72</f>
        <v>6801.849720000001</v>
      </c>
      <c r="L398" s="201">
        <v>0</v>
      </c>
      <c r="M398" s="201">
        <v>0</v>
      </c>
    </row>
    <row r="399" spans="1:13" ht="29.25" customHeight="1">
      <c r="A399" s="278"/>
      <c r="B399" s="300" t="s">
        <v>833</v>
      </c>
      <c r="C399" s="34" t="s">
        <v>863</v>
      </c>
      <c r="D399" s="4" t="s">
        <v>433</v>
      </c>
      <c r="E399" s="4" t="s">
        <v>776</v>
      </c>
      <c r="F399" s="4" t="s">
        <v>43</v>
      </c>
      <c r="G399" s="324"/>
      <c r="H399" s="310"/>
      <c r="I399" s="285"/>
      <c r="J399" s="201">
        <v>542.27445</v>
      </c>
      <c r="K399" s="201">
        <v>542.27445</v>
      </c>
      <c r="L399" s="201">
        <v>0</v>
      </c>
      <c r="M399" s="201">
        <v>0</v>
      </c>
    </row>
    <row r="400" spans="1:13" ht="28.5" customHeight="1">
      <c r="A400" s="279"/>
      <c r="B400" s="301"/>
      <c r="C400" s="34" t="s">
        <v>863</v>
      </c>
      <c r="D400" s="4" t="s">
        <v>433</v>
      </c>
      <c r="E400" s="4" t="s">
        <v>776</v>
      </c>
      <c r="F400" s="4" t="s">
        <v>325</v>
      </c>
      <c r="G400" s="324"/>
      <c r="H400" s="310"/>
      <c r="I400" s="285"/>
      <c r="J400" s="201">
        <v>1893.01545</v>
      </c>
      <c r="K400" s="201">
        <v>1893.01545</v>
      </c>
      <c r="L400" s="201">
        <v>0</v>
      </c>
      <c r="M400" s="201">
        <v>0</v>
      </c>
    </row>
    <row r="401" spans="1:13" ht="45" customHeight="1">
      <c r="A401" s="3"/>
      <c r="B401" s="59" t="s">
        <v>831</v>
      </c>
      <c r="C401" s="198" t="s">
        <v>829</v>
      </c>
      <c r="D401" s="120" t="s">
        <v>10</v>
      </c>
      <c r="E401" s="120" t="s">
        <v>832</v>
      </c>
      <c r="F401" s="120" t="s">
        <v>43</v>
      </c>
      <c r="G401" s="324"/>
      <c r="H401" s="310"/>
      <c r="I401" s="285"/>
      <c r="J401" s="201">
        <f>1149.1+626.7+5.30665+9015.3-348.1-52.74781+230</f>
        <v>10625.558839999998</v>
      </c>
      <c r="K401" s="201">
        <f>1149.1+626.7+5.30665+9015.3-348.1-52.74781+230</f>
        <v>10625.558839999998</v>
      </c>
      <c r="L401" s="201">
        <v>0</v>
      </c>
      <c r="M401" s="201">
        <v>0</v>
      </c>
    </row>
    <row r="402" spans="1:13" ht="32.25" customHeight="1">
      <c r="A402" s="278"/>
      <c r="B402" s="304" t="s">
        <v>775</v>
      </c>
      <c r="C402" s="34" t="s">
        <v>863</v>
      </c>
      <c r="D402" s="4" t="s">
        <v>433</v>
      </c>
      <c r="E402" s="278" t="s">
        <v>774</v>
      </c>
      <c r="F402" s="278" t="s">
        <v>325</v>
      </c>
      <c r="G402" s="324"/>
      <c r="H402" s="310"/>
      <c r="I402" s="285"/>
      <c r="J402" s="201">
        <v>65.73858</v>
      </c>
      <c r="K402" s="201">
        <v>65.73858</v>
      </c>
      <c r="L402" s="201">
        <v>0</v>
      </c>
      <c r="M402" s="201">
        <v>0</v>
      </c>
    </row>
    <row r="403" spans="1:13" ht="23.25" customHeight="1">
      <c r="A403" s="287"/>
      <c r="B403" s="305"/>
      <c r="C403" s="4" t="s">
        <v>5</v>
      </c>
      <c r="D403" s="4" t="s">
        <v>10</v>
      </c>
      <c r="E403" s="287"/>
      <c r="F403" s="287"/>
      <c r="G403" s="324"/>
      <c r="H403" s="310"/>
      <c r="I403" s="285"/>
      <c r="J403" s="203">
        <f>45.448-22.724</f>
        <v>22.724</v>
      </c>
      <c r="K403" s="203">
        <f>45.448-22.724</f>
        <v>22.724</v>
      </c>
      <c r="L403" s="201">
        <v>0</v>
      </c>
      <c r="M403" s="201">
        <v>0</v>
      </c>
    </row>
    <row r="404" spans="1:13" ht="24" customHeight="1">
      <c r="A404" s="287"/>
      <c r="B404" s="305"/>
      <c r="C404" s="4" t="s">
        <v>829</v>
      </c>
      <c r="D404" s="4" t="s">
        <v>10</v>
      </c>
      <c r="E404" s="287"/>
      <c r="F404" s="287"/>
      <c r="G404" s="324"/>
      <c r="H404" s="310"/>
      <c r="I404" s="285"/>
      <c r="J404" s="203">
        <f>34.814-17.407+99.36198-47.25585</f>
        <v>69.51312999999999</v>
      </c>
      <c r="K404" s="203">
        <f>34.814-17.407+99.36198-47.25585</f>
        <v>69.51312999999999</v>
      </c>
      <c r="L404" s="202">
        <v>0</v>
      </c>
      <c r="M404" s="202">
        <v>0</v>
      </c>
    </row>
    <row r="405" spans="1:13" ht="26.25" customHeight="1">
      <c r="A405" s="279"/>
      <c r="B405" s="306"/>
      <c r="C405" s="4" t="s">
        <v>867</v>
      </c>
      <c r="D405" s="4" t="s">
        <v>433</v>
      </c>
      <c r="E405" s="279"/>
      <c r="F405" s="279"/>
      <c r="G405" s="325"/>
      <c r="H405" s="311"/>
      <c r="I405" s="288"/>
      <c r="J405" s="202">
        <v>22.71066</v>
      </c>
      <c r="K405" s="202">
        <v>22.71066</v>
      </c>
      <c r="L405" s="202">
        <v>0</v>
      </c>
      <c r="M405" s="202">
        <v>0</v>
      </c>
    </row>
    <row r="406" spans="1:13" ht="35.25" customHeight="1">
      <c r="A406" s="119"/>
      <c r="B406" s="276" t="s">
        <v>1000</v>
      </c>
      <c r="C406" s="4" t="s">
        <v>5</v>
      </c>
      <c r="D406" s="4" t="s">
        <v>10</v>
      </c>
      <c r="E406" s="278" t="s">
        <v>1045</v>
      </c>
      <c r="F406" s="278" t="s">
        <v>43</v>
      </c>
      <c r="G406" s="392" t="s">
        <v>1048</v>
      </c>
      <c r="H406" s="295" t="s">
        <v>383</v>
      </c>
      <c r="I406" s="284" t="s">
        <v>1049</v>
      </c>
      <c r="J406" s="202">
        <v>61</v>
      </c>
      <c r="K406" s="202">
        <v>61</v>
      </c>
      <c r="L406" s="202">
        <v>0</v>
      </c>
      <c r="M406" s="202">
        <v>0</v>
      </c>
    </row>
    <row r="407" spans="1:13" ht="35.25" customHeight="1">
      <c r="A407" s="119"/>
      <c r="B407" s="299"/>
      <c r="C407" s="34" t="s">
        <v>863</v>
      </c>
      <c r="D407" s="4" t="s">
        <v>433</v>
      </c>
      <c r="E407" s="287"/>
      <c r="F407" s="287"/>
      <c r="G407" s="324"/>
      <c r="H407" s="310"/>
      <c r="I407" s="294"/>
      <c r="J407" s="202">
        <v>210</v>
      </c>
      <c r="K407" s="202">
        <v>210</v>
      </c>
      <c r="L407" s="202">
        <v>0</v>
      </c>
      <c r="M407" s="202">
        <v>0</v>
      </c>
    </row>
    <row r="408" spans="1:13" ht="25.5" customHeight="1">
      <c r="A408" s="119"/>
      <c r="B408" s="299"/>
      <c r="C408" s="4" t="s">
        <v>867</v>
      </c>
      <c r="D408" s="4" t="s">
        <v>433</v>
      </c>
      <c r="E408" s="287"/>
      <c r="F408" s="287"/>
      <c r="G408" s="324"/>
      <c r="H408" s="310"/>
      <c r="I408" s="294"/>
      <c r="J408" s="202">
        <v>87</v>
      </c>
      <c r="K408" s="202">
        <v>87</v>
      </c>
      <c r="L408" s="202">
        <v>0</v>
      </c>
      <c r="M408" s="202">
        <v>0</v>
      </c>
    </row>
    <row r="409" spans="1:13" ht="28.5" customHeight="1">
      <c r="A409" s="119"/>
      <c r="B409" s="277"/>
      <c r="C409" s="4" t="s">
        <v>829</v>
      </c>
      <c r="D409" s="4" t="s">
        <v>10</v>
      </c>
      <c r="E409" s="279"/>
      <c r="F409" s="279"/>
      <c r="G409" s="325"/>
      <c r="H409" s="311"/>
      <c r="I409" s="286"/>
      <c r="J409" s="202">
        <v>112</v>
      </c>
      <c r="K409" s="202">
        <v>112</v>
      </c>
      <c r="L409" s="202">
        <v>0</v>
      </c>
      <c r="M409" s="202">
        <v>0</v>
      </c>
    </row>
    <row r="410" spans="1:13" ht="120" customHeight="1">
      <c r="A410" s="90" t="s">
        <v>160</v>
      </c>
      <c r="B410" s="92" t="s">
        <v>159</v>
      </c>
      <c r="C410" s="99"/>
      <c r="D410" s="90"/>
      <c r="E410" s="90"/>
      <c r="F410" s="90"/>
      <c r="G410" s="94"/>
      <c r="H410" s="90"/>
      <c r="I410" s="90"/>
      <c r="J410" s="200">
        <f>J411</f>
        <v>36243.8161</v>
      </c>
      <c r="K410" s="200">
        <f>K411</f>
        <v>36243.8161</v>
      </c>
      <c r="L410" s="200">
        <f>L411</f>
        <v>22452.948210000002</v>
      </c>
      <c r="M410" s="200">
        <f>M411</f>
        <v>20922.04821</v>
      </c>
    </row>
    <row r="411" spans="1:62" ht="45" customHeight="1">
      <c r="A411" s="119"/>
      <c r="B411" s="59" t="s">
        <v>697</v>
      </c>
      <c r="C411" s="6"/>
      <c r="D411" s="120"/>
      <c r="E411" s="120" t="s">
        <v>78</v>
      </c>
      <c r="F411" s="120"/>
      <c r="G411" s="131"/>
      <c r="H411" s="119"/>
      <c r="I411" s="119"/>
      <c r="J411" s="201">
        <f>J412+J416+J418+J413+J414+J415+J420</f>
        <v>36243.8161</v>
      </c>
      <c r="K411" s="201">
        <f>K412+K416+K418+K413+K414+K415+K420</f>
        <v>36243.8161</v>
      </c>
      <c r="L411" s="201">
        <f>L412+L416+L418+L413+L414</f>
        <v>22452.948210000002</v>
      </c>
      <c r="M411" s="201">
        <f>M412+M416+M418+M413+M414</f>
        <v>20922.04821</v>
      </c>
      <c r="BI411" s="33"/>
      <c r="BJ411" s="33"/>
    </row>
    <row r="412" spans="1:13" ht="236.25" customHeight="1">
      <c r="A412" s="4"/>
      <c r="B412" s="17" t="s">
        <v>408</v>
      </c>
      <c r="C412" s="4" t="s">
        <v>867</v>
      </c>
      <c r="D412" s="4" t="s">
        <v>12</v>
      </c>
      <c r="E412" s="4" t="s">
        <v>926</v>
      </c>
      <c r="F412" s="14" t="s">
        <v>44</v>
      </c>
      <c r="G412" s="171" t="s">
        <v>753</v>
      </c>
      <c r="H412" s="57" t="s">
        <v>135</v>
      </c>
      <c r="I412" s="57" t="s">
        <v>409</v>
      </c>
      <c r="J412" s="202">
        <f>100.8+223.5+18.46814+3.80251</f>
        <v>346.57065</v>
      </c>
      <c r="K412" s="202">
        <f>100.8+223.5+18.46814+3.80251</f>
        <v>346.57065</v>
      </c>
      <c r="L412" s="202">
        <f>100.8+223.5</f>
        <v>324.3</v>
      </c>
      <c r="M412" s="202">
        <f>100.8+223.5</f>
        <v>324.3</v>
      </c>
    </row>
    <row r="413" spans="1:13" ht="31.5" customHeight="1">
      <c r="A413" s="278"/>
      <c r="B413" s="300" t="s">
        <v>685</v>
      </c>
      <c r="C413" s="34" t="s">
        <v>863</v>
      </c>
      <c r="D413" s="120" t="s">
        <v>10</v>
      </c>
      <c r="E413" s="14" t="s">
        <v>686</v>
      </c>
      <c r="F413" s="120" t="s">
        <v>230</v>
      </c>
      <c r="G413" s="293" t="s">
        <v>991</v>
      </c>
      <c r="H413" s="284" t="s">
        <v>383</v>
      </c>
      <c r="I413" s="284" t="s">
        <v>229</v>
      </c>
      <c r="J413" s="203">
        <f>14683.55414+761.48608+1451.20328</f>
        <v>16896.2435</v>
      </c>
      <c r="K413" s="203">
        <f>14683.55414+761.48608+1451.20328</f>
        <v>16896.2435</v>
      </c>
      <c r="L413" s="203">
        <f>806.3+4887+1231.4+1660.2-704.55179</f>
        <v>7880.348210000002</v>
      </c>
      <c r="M413" s="203">
        <f>806.3+4887+1231.4+129.3-2204.55179+1500</f>
        <v>6349.4482100000005</v>
      </c>
    </row>
    <row r="414" spans="1:13" ht="31.5" customHeight="1">
      <c r="A414" s="287"/>
      <c r="B414" s="388"/>
      <c r="C414" s="34" t="s">
        <v>863</v>
      </c>
      <c r="D414" s="120" t="s">
        <v>10</v>
      </c>
      <c r="E414" s="14" t="s">
        <v>686</v>
      </c>
      <c r="F414" s="120" t="s">
        <v>44</v>
      </c>
      <c r="G414" s="324"/>
      <c r="H414" s="285"/>
      <c r="I414" s="285"/>
      <c r="J414" s="201">
        <f>6602.915-764.98608-885.05112</f>
        <v>4952.8778</v>
      </c>
      <c r="K414" s="201">
        <f>6602.915-764.98608-885.05112</f>
        <v>4952.8778</v>
      </c>
      <c r="L414" s="203">
        <f>68.2+1721.5</f>
        <v>1789.7</v>
      </c>
      <c r="M414" s="203">
        <f>68.2+1721.5</f>
        <v>1789.7</v>
      </c>
    </row>
    <row r="415" spans="1:13" ht="31.5" customHeight="1">
      <c r="A415" s="279"/>
      <c r="B415" s="301"/>
      <c r="C415" s="34" t="s">
        <v>863</v>
      </c>
      <c r="D415" s="120" t="s">
        <v>10</v>
      </c>
      <c r="E415" s="14" t="s">
        <v>686</v>
      </c>
      <c r="F415" s="196" t="s">
        <v>45</v>
      </c>
      <c r="G415" s="286"/>
      <c r="H415" s="286"/>
      <c r="I415" s="286"/>
      <c r="J415" s="212">
        <f>271.79407+3.5-13.23216</f>
        <v>262.06190999999995</v>
      </c>
      <c r="K415" s="212">
        <f>271.79407+3.5-13.23216</f>
        <v>262.06190999999995</v>
      </c>
      <c r="L415" s="212">
        <v>0</v>
      </c>
      <c r="M415" s="212">
        <v>0</v>
      </c>
    </row>
    <row r="416" spans="1:13" ht="21" customHeight="1">
      <c r="A416" s="278"/>
      <c r="B416" s="337" t="s">
        <v>357</v>
      </c>
      <c r="C416" s="278" t="s">
        <v>859</v>
      </c>
      <c r="D416" s="278" t="s">
        <v>10</v>
      </c>
      <c r="E416" s="278" t="s">
        <v>356</v>
      </c>
      <c r="F416" s="278" t="s">
        <v>230</v>
      </c>
      <c r="G416" s="293" t="s">
        <v>535</v>
      </c>
      <c r="H416" s="284" t="s">
        <v>503</v>
      </c>
      <c r="I416" s="284" t="s">
        <v>427</v>
      </c>
      <c r="J416" s="343">
        <f>12705.10501-1217.31718</f>
        <v>11487.78783</v>
      </c>
      <c r="K416" s="343">
        <f>12705.10501-1217.31718</f>
        <v>11487.78783</v>
      </c>
      <c r="L416" s="343">
        <v>11514.2</v>
      </c>
      <c r="M416" s="343">
        <v>11514.2</v>
      </c>
    </row>
    <row r="417" spans="1:13" ht="21" customHeight="1">
      <c r="A417" s="287"/>
      <c r="B417" s="387"/>
      <c r="C417" s="279"/>
      <c r="D417" s="279"/>
      <c r="E417" s="279"/>
      <c r="F417" s="279"/>
      <c r="G417" s="324"/>
      <c r="H417" s="285"/>
      <c r="I417" s="285"/>
      <c r="J417" s="344"/>
      <c r="K417" s="344"/>
      <c r="L417" s="344"/>
      <c r="M417" s="344"/>
    </row>
    <row r="418" spans="1:13" ht="21" customHeight="1">
      <c r="A418" s="287"/>
      <c r="B418" s="387"/>
      <c r="C418" s="278" t="s">
        <v>859</v>
      </c>
      <c r="D418" s="278" t="s">
        <v>10</v>
      </c>
      <c r="E418" s="278" t="s">
        <v>356</v>
      </c>
      <c r="F418" s="278" t="s">
        <v>44</v>
      </c>
      <c r="G418" s="324"/>
      <c r="H418" s="285"/>
      <c r="I418" s="285"/>
      <c r="J418" s="343">
        <f>1578.72659+712.31982</f>
        <v>2291.04641</v>
      </c>
      <c r="K418" s="343">
        <f>1578.72659+712.31982</f>
        <v>2291.04641</v>
      </c>
      <c r="L418" s="343">
        <v>944.4</v>
      </c>
      <c r="M418" s="343">
        <v>944.4</v>
      </c>
    </row>
    <row r="419" spans="1:13" ht="21" customHeight="1">
      <c r="A419" s="279"/>
      <c r="B419" s="387"/>
      <c r="C419" s="279"/>
      <c r="D419" s="279"/>
      <c r="E419" s="279"/>
      <c r="F419" s="279"/>
      <c r="G419" s="324"/>
      <c r="H419" s="285"/>
      <c r="I419" s="285"/>
      <c r="J419" s="344"/>
      <c r="K419" s="344"/>
      <c r="L419" s="344"/>
      <c r="M419" s="344"/>
    </row>
    <row r="420" spans="1:13" ht="21" customHeight="1">
      <c r="A420" s="119"/>
      <c r="B420" s="333"/>
      <c r="C420" s="119" t="s">
        <v>859</v>
      </c>
      <c r="D420" s="119" t="s">
        <v>10</v>
      </c>
      <c r="E420" s="119" t="s">
        <v>356</v>
      </c>
      <c r="F420" s="119" t="s">
        <v>45</v>
      </c>
      <c r="G420" s="286"/>
      <c r="H420" s="286"/>
      <c r="I420" s="286"/>
      <c r="J420" s="211">
        <v>7.228</v>
      </c>
      <c r="K420" s="211">
        <v>7.228</v>
      </c>
      <c r="L420" s="211">
        <v>0</v>
      </c>
      <c r="M420" s="211">
        <v>0</v>
      </c>
    </row>
    <row r="421" spans="1:60" ht="45" customHeight="1">
      <c r="A421" s="90" t="s">
        <v>898</v>
      </c>
      <c r="B421" s="92" t="s">
        <v>165</v>
      </c>
      <c r="C421" s="94"/>
      <c r="D421" s="90"/>
      <c r="E421" s="114"/>
      <c r="F421" s="90"/>
      <c r="G421" s="115"/>
      <c r="H421" s="98"/>
      <c r="I421" s="98"/>
      <c r="J421" s="200">
        <f>J422</f>
        <v>5268.236030000001</v>
      </c>
      <c r="K421" s="200">
        <f>K422</f>
        <v>5268.236030000001</v>
      </c>
      <c r="L421" s="200">
        <f>L422</f>
        <v>4682.3</v>
      </c>
      <c r="M421" s="200">
        <f>M422</f>
        <v>4682.3</v>
      </c>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row>
    <row r="422" spans="1:60" ht="30" customHeight="1">
      <c r="A422" s="4"/>
      <c r="B422" s="10" t="s">
        <v>138</v>
      </c>
      <c r="C422" s="34"/>
      <c r="D422" s="4"/>
      <c r="E422" s="14" t="s">
        <v>74</v>
      </c>
      <c r="F422" s="4"/>
      <c r="G422" s="111"/>
      <c r="H422" s="109"/>
      <c r="I422" s="109"/>
      <c r="J422" s="201">
        <f>K423</f>
        <v>5268.236030000001</v>
      </c>
      <c r="K422" s="201">
        <f>K423</f>
        <v>5268.236030000001</v>
      </c>
      <c r="L422" s="201">
        <f>L423</f>
        <v>4682.3</v>
      </c>
      <c r="M422" s="201">
        <f>M423</f>
        <v>4682.3</v>
      </c>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row>
    <row r="423" spans="1:60" ht="151.5" customHeight="1">
      <c r="A423" s="4"/>
      <c r="B423" s="10" t="s">
        <v>156</v>
      </c>
      <c r="C423" s="34" t="s">
        <v>863</v>
      </c>
      <c r="D423" s="4" t="s">
        <v>116</v>
      </c>
      <c r="E423" s="4" t="s">
        <v>139</v>
      </c>
      <c r="F423" s="4" t="s">
        <v>117</v>
      </c>
      <c r="G423" s="13" t="s">
        <v>986</v>
      </c>
      <c r="H423" s="7" t="s">
        <v>987</v>
      </c>
      <c r="I423" s="7" t="s">
        <v>988</v>
      </c>
      <c r="J423" s="201">
        <f>4682.3+488.32764+97.60839</f>
        <v>5268.236030000001</v>
      </c>
      <c r="K423" s="201">
        <f>4682.3+488.32764+97.60839</f>
        <v>5268.236030000001</v>
      </c>
      <c r="L423" s="201">
        <v>4682.3</v>
      </c>
      <c r="M423" s="201">
        <v>4682.3</v>
      </c>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row>
    <row r="424" spans="1:60" ht="99.75" customHeight="1">
      <c r="A424" s="45" t="s">
        <v>166</v>
      </c>
      <c r="B424" s="116" t="s">
        <v>167</v>
      </c>
      <c r="C424" s="45"/>
      <c r="D424" s="45"/>
      <c r="E424" s="45"/>
      <c r="F424" s="45"/>
      <c r="G424" s="45"/>
      <c r="H424" s="45"/>
      <c r="I424" s="45"/>
      <c r="J424" s="199">
        <v>0</v>
      </c>
      <c r="K424" s="199">
        <v>0</v>
      </c>
      <c r="L424" s="199">
        <v>0</v>
      </c>
      <c r="M424" s="199">
        <v>0</v>
      </c>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row>
    <row r="425" spans="1:60" ht="128.25" customHeight="1">
      <c r="A425" s="45" t="s">
        <v>173</v>
      </c>
      <c r="B425" s="46" t="s">
        <v>174</v>
      </c>
      <c r="C425" s="45"/>
      <c r="D425" s="45"/>
      <c r="E425" s="45"/>
      <c r="F425" s="47"/>
      <c r="G425" s="48"/>
      <c r="H425" s="49"/>
      <c r="I425" s="49"/>
      <c r="J425" s="199">
        <f>J426+J438</f>
        <v>81526.791</v>
      </c>
      <c r="K425" s="199">
        <f>K426+K438</f>
        <v>81452.28844</v>
      </c>
      <c r="L425" s="199">
        <f>L426+L438</f>
        <v>82075.79467999998</v>
      </c>
      <c r="M425" s="199">
        <f>M426+M438</f>
        <v>80635.88601999999</v>
      </c>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row>
    <row r="426" spans="1:60" ht="28.5" customHeight="1">
      <c r="A426" s="45" t="s">
        <v>175</v>
      </c>
      <c r="B426" s="46" t="s">
        <v>176</v>
      </c>
      <c r="C426" s="45"/>
      <c r="D426" s="45"/>
      <c r="E426" s="45"/>
      <c r="F426" s="47"/>
      <c r="G426" s="48"/>
      <c r="H426" s="49"/>
      <c r="I426" s="49"/>
      <c r="J426" s="199">
        <f>J427+J431+J433+J436</f>
        <v>9454.54</v>
      </c>
      <c r="K426" s="199">
        <f>K427+K431+K433+K436</f>
        <v>9454.54</v>
      </c>
      <c r="L426" s="199">
        <f>L427+L431+L433+L436</f>
        <v>7090.084</v>
      </c>
      <c r="M426" s="199">
        <f>M427+M431+M433+M436</f>
        <v>4227.436</v>
      </c>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row>
    <row r="427" spans="1:60" ht="30" customHeight="1">
      <c r="A427" s="90" t="s">
        <v>178</v>
      </c>
      <c r="B427" s="91" t="s">
        <v>177</v>
      </c>
      <c r="C427" s="90"/>
      <c r="D427" s="90"/>
      <c r="E427" s="90"/>
      <c r="F427" s="90"/>
      <c r="G427" s="90"/>
      <c r="H427" s="90"/>
      <c r="I427" s="90"/>
      <c r="J427" s="200">
        <f>J428+J429+J430</f>
        <v>1626.1999999999998</v>
      </c>
      <c r="K427" s="200">
        <f>K428+K429+K430</f>
        <v>1626.1999999999998</v>
      </c>
      <c r="L427" s="200">
        <f>L428+L429+L430</f>
        <v>1630.4</v>
      </c>
      <c r="M427" s="200">
        <f>M428+M429+M430</f>
        <v>1793.5</v>
      </c>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row>
    <row r="428" spans="1:60" ht="36" customHeight="1">
      <c r="A428" s="278"/>
      <c r="B428" s="331" t="s">
        <v>435</v>
      </c>
      <c r="C428" s="34" t="s">
        <v>863</v>
      </c>
      <c r="D428" s="4" t="s">
        <v>10</v>
      </c>
      <c r="E428" s="4" t="s">
        <v>436</v>
      </c>
      <c r="F428" s="4" t="s">
        <v>43</v>
      </c>
      <c r="G428" s="274" t="s">
        <v>437</v>
      </c>
      <c r="H428" s="278" t="s">
        <v>439</v>
      </c>
      <c r="I428" s="278" t="s">
        <v>438</v>
      </c>
      <c r="J428" s="203">
        <f>1482.1-176.5-10.25+12.76544</f>
        <v>1308.1154399999998</v>
      </c>
      <c r="K428" s="201">
        <f>1482.1-176.5-10.25+12.76544</f>
        <v>1308.1154399999998</v>
      </c>
      <c r="L428" s="203">
        <f>1630.4-324.8</f>
        <v>1305.6000000000001</v>
      </c>
      <c r="M428" s="203">
        <f>1793.5-487.9</f>
        <v>1305.6</v>
      </c>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row>
    <row r="429" spans="1:60" ht="36" customHeight="1">
      <c r="A429" s="279"/>
      <c r="B429" s="338"/>
      <c r="C429" s="34" t="s">
        <v>863</v>
      </c>
      <c r="D429" s="4" t="s">
        <v>10</v>
      </c>
      <c r="E429" s="4" t="s">
        <v>436</v>
      </c>
      <c r="F429" s="4" t="s">
        <v>44</v>
      </c>
      <c r="G429" s="275"/>
      <c r="H429" s="279"/>
      <c r="I429" s="279"/>
      <c r="J429" s="203">
        <f>176.5+10.25-12.76544</f>
        <v>173.98456</v>
      </c>
      <c r="K429" s="201">
        <f>176.5+10.25-12.76544</f>
        <v>173.98456</v>
      </c>
      <c r="L429" s="203">
        <v>324.8</v>
      </c>
      <c r="M429" s="203">
        <v>487.9</v>
      </c>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row>
    <row r="430" spans="1:60" ht="182.25" customHeight="1">
      <c r="A430" s="119"/>
      <c r="B430" s="162" t="s">
        <v>1030</v>
      </c>
      <c r="C430" s="34" t="s">
        <v>863</v>
      </c>
      <c r="D430" s="4" t="s">
        <v>1031</v>
      </c>
      <c r="E430" s="4" t="s">
        <v>1032</v>
      </c>
      <c r="F430" s="4" t="s">
        <v>43</v>
      </c>
      <c r="G430" s="152" t="s">
        <v>1043</v>
      </c>
      <c r="H430" s="119" t="s">
        <v>383</v>
      </c>
      <c r="I430" s="119" t="s">
        <v>1044</v>
      </c>
      <c r="J430" s="203">
        <v>144.1</v>
      </c>
      <c r="K430" s="201">
        <v>144.1</v>
      </c>
      <c r="L430" s="203">
        <v>0</v>
      </c>
      <c r="M430" s="203">
        <v>0</v>
      </c>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row>
    <row r="431" spans="1:60" ht="30" customHeight="1">
      <c r="A431" s="90" t="s">
        <v>441</v>
      </c>
      <c r="B431" s="91" t="s">
        <v>442</v>
      </c>
      <c r="C431" s="90"/>
      <c r="D431" s="90"/>
      <c r="E431" s="90"/>
      <c r="F431" s="90"/>
      <c r="G431" s="90"/>
      <c r="H431" s="90"/>
      <c r="I431" s="90"/>
      <c r="J431" s="200">
        <f>J432</f>
        <v>16.7</v>
      </c>
      <c r="K431" s="200">
        <f>K432</f>
        <v>16.7</v>
      </c>
      <c r="L431" s="200">
        <f>L432</f>
        <v>12.2</v>
      </c>
      <c r="M431" s="200">
        <f>M432</f>
        <v>99.3</v>
      </c>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row>
    <row r="432" spans="1:60" ht="90" customHeight="1">
      <c r="A432" s="4"/>
      <c r="B432" s="11" t="s">
        <v>444</v>
      </c>
      <c r="C432" s="34" t="s">
        <v>863</v>
      </c>
      <c r="D432" s="4" t="s">
        <v>443</v>
      </c>
      <c r="E432" s="4" t="s">
        <v>445</v>
      </c>
      <c r="F432" s="4" t="s">
        <v>44</v>
      </c>
      <c r="G432" s="147" t="s">
        <v>446</v>
      </c>
      <c r="H432" s="119" t="s">
        <v>383</v>
      </c>
      <c r="I432" s="119" t="s">
        <v>447</v>
      </c>
      <c r="J432" s="201">
        <v>16.7</v>
      </c>
      <c r="K432" s="201">
        <v>16.7</v>
      </c>
      <c r="L432" s="201">
        <v>12.2</v>
      </c>
      <c r="M432" s="201">
        <v>99.3</v>
      </c>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row>
    <row r="433" spans="1:60" ht="105" customHeight="1">
      <c r="A433" s="90" t="s">
        <v>544</v>
      </c>
      <c r="B433" s="100" t="s">
        <v>546</v>
      </c>
      <c r="C433" s="90"/>
      <c r="D433" s="90"/>
      <c r="E433" s="90"/>
      <c r="F433" s="90"/>
      <c r="G433" s="90"/>
      <c r="H433" s="90"/>
      <c r="I433" s="90"/>
      <c r="J433" s="213">
        <f>J434+J435</f>
        <v>4686.984</v>
      </c>
      <c r="K433" s="213">
        <f>K434+K435</f>
        <v>4686.984</v>
      </c>
      <c r="L433" s="213">
        <f>L434+L435</f>
        <v>2334.636</v>
      </c>
      <c r="M433" s="213">
        <f>M434+M435</f>
        <v>0</v>
      </c>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row>
    <row r="434" spans="1:60" ht="69" customHeight="1">
      <c r="A434" s="4"/>
      <c r="B434" s="11" t="s">
        <v>549</v>
      </c>
      <c r="C434" s="4" t="s">
        <v>867</v>
      </c>
      <c r="D434" s="4" t="s">
        <v>12</v>
      </c>
      <c r="E434" s="14" t="s">
        <v>548</v>
      </c>
      <c r="F434" s="4" t="s">
        <v>325</v>
      </c>
      <c r="G434" s="291" t="s">
        <v>755</v>
      </c>
      <c r="H434" s="278" t="s">
        <v>383</v>
      </c>
      <c r="I434" s="280" t="s">
        <v>660</v>
      </c>
      <c r="J434" s="202">
        <f>3112.8+0.048+11.808</f>
        <v>3124.656</v>
      </c>
      <c r="K434" s="202">
        <f>3112.8+0.048+11.808</f>
        <v>3124.656</v>
      </c>
      <c r="L434" s="202">
        <f>2334.6+0.036</f>
        <v>2334.636</v>
      </c>
      <c r="M434" s="202">
        <v>0</v>
      </c>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row>
    <row r="435" spans="1:60" ht="121.5" customHeight="1">
      <c r="A435" s="4"/>
      <c r="B435" s="11" t="s">
        <v>1009</v>
      </c>
      <c r="C435" s="4" t="s">
        <v>867</v>
      </c>
      <c r="D435" s="4" t="s">
        <v>12</v>
      </c>
      <c r="E435" s="14" t="s">
        <v>1008</v>
      </c>
      <c r="F435" s="4" t="s">
        <v>325</v>
      </c>
      <c r="G435" s="292"/>
      <c r="H435" s="279"/>
      <c r="I435" s="281"/>
      <c r="J435" s="202">
        <v>1562.328</v>
      </c>
      <c r="K435" s="202">
        <v>1562.328</v>
      </c>
      <c r="L435" s="202">
        <v>0</v>
      </c>
      <c r="M435" s="202">
        <v>0</v>
      </c>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row>
    <row r="436" spans="1:60" ht="75" customHeight="1">
      <c r="A436" s="90" t="s">
        <v>545</v>
      </c>
      <c r="B436" s="100" t="s">
        <v>547</v>
      </c>
      <c r="C436" s="90"/>
      <c r="D436" s="90"/>
      <c r="E436" s="90"/>
      <c r="F436" s="90"/>
      <c r="G436" s="90"/>
      <c r="H436" s="90"/>
      <c r="I436" s="90"/>
      <c r="J436" s="213">
        <f>J437</f>
        <v>3124.656</v>
      </c>
      <c r="K436" s="213">
        <f>K437</f>
        <v>3124.656</v>
      </c>
      <c r="L436" s="213">
        <f>L437</f>
        <v>3112.848</v>
      </c>
      <c r="M436" s="213">
        <f>M437</f>
        <v>2334.636</v>
      </c>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row>
    <row r="437" spans="1:60" ht="72.75" customHeight="1">
      <c r="A437" s="4"/>
      <c r="B437" s="11" t="s">
        <v>551</v>
      </c>
      <c r="C437" s="4" t="s">
        <v>867</v>
      </c>
      <c r="D437" s="4" t="s">
        <v>12</v>
      </c>
      <c r="E437" s="14" t="s">
        <v>550</v>
      </c>
      <c r="F437" s="4" t="s">
        <v>325</v>
      </c>
      <c r="G437" s="188" t="s">
        <v>755</v>
      </c>
      <c r="H437" s="119" t="s">
        <v>383</v>
      </c>
      <c r="I437" s="174" t="s">
        <v>660</v>
      </c>
      <c r="J437" s="202">
        <f>3112.8+0.048+11.808</f>
        <v>3124.656</v>
      </c>
      <c r="K437" s="202">
        <f>3112.8+0.048+11.808</f>
        <v>3124.656</v>
      </c>
      <c r="L437" s="202">
        <f>3112.8+0.048</f>
        <v>3112.848</v>
      </c>
      <c r="M437" s="202">
        <f>2334.6+0.036</f>
        <v>2334.636</v>
      </c>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row>
    <row r="438" spans="1:60" ht="36.75" customHeight="1">
      <c r="A438" s="45" t="s">
        <v>180</v>
      </c>
      <c r="B438" s="46" t="s">
        <v>179</v>
      </c>
      <c r="C438" s="45"/>
      <c r="D438" s="45"/>
      <c r="E438" s="45"/>
      <c r="F438" s="47"/>
      <c r="G438" s="48"/>
      <c r="H438" s="49"/>
      <c r="I438" s="49"/>
      <c r="J438" s="199">
        <f>J439+J445+J453+J483+J498+J501+J504+J489+J460+J449+J475+J508</f>
        <v>72072.251</v>
      </c>
      <c r="K438" s="199">
        <f>K439+K445+K453+K483+K498+K501+K504+K489+K460+K449+K475+K508</f>
        <v>71997.74844</v>
      </c>
      <c r="L438" s="199">
        <f>L439+L445+L453+L483+L498+L501+L504+L489+L460+L449+L475+L508</f>
        <v>74985.71067999997</v>
      </c>
      <c r="M438" s="199">
        <f>M439+M445+M453+M483+M498+M501+M504+M489+M460+M449+M475+M508</f>
        <v>76408.45001999999</v>
      </c>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row>
    <row r="439" spans="1:60" ht="60" customHeight="1">
      <c r="A439" s="90" t="s">
        <v>182</v>
      </c>
      <c r="B439" s="100" t="s">
        <v>181</v>
      </c>
      <c r="C439" s="90"/>
      <c r="D439" s="90"/>
      <c r="E439" s="90"/>
      <c r="F439" s="90"/>
      <c r="G439" s="90"/>
      <c r="H439" s="90"/>
      <c r="I439" s="90"/>
      <c r="J439" s="200">
        <f>J440+J443</f>
        <v>170.29999999999998</v>
      </c>
      <c r="K439" s="200">
        <f>K440+K443</f>
        <v>170.29999999999998</v>
      </c>
      <c r="L439" s="200">
        <f>L440+L443</f>
        <v>170.29999999999998</v>
      </c>
      <c r="M439" s="200">
        <f>M440+M443</f>
        <v>170.29999999999998</v>
      </c>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row>
    <row r="440" spans="1:60" ht="45" customHeight="1">
      <c r="A440" s="4"/>
      <c r="B440" s="11" t="s">
        <v>293</v>
      </c>
      <c r="C440" s="4"/>
      <c r="D440" s="4"/>
      <c r="E440" s="4" t="s">
        <v>64</v>
      </c>
      <c r="F440" s="4"/>
      <c r="G440" s="4"/>
      <c r="H440" s="4"/>
      <c r="I440" s="4"/>
      <c r="J440" s="201">
        <f>J441+J442</f>
        <v>38.6</v>
      </c>
      <c r="K440" s="201">
        <f>K441+K442</f>
        <v>38.6</v>
      </c>
      <c r="L440" s="201">
        <f>L441+L442</f>
        <v>38.6</v>
      </c>
      <c r="M440" s="201">
        <f>M441+M442</f>
        <v>38.6</v>
      </c>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row>
    <row r="441" spans="1:60" ht="65.25" customHeight="1">
      <c r="A441" s="4"/>
      <c r="B441" s="278" t="s">
        <v>487</v>
      </c>
      <c r="C441" s="110" t="s">
        <v>863</v>
      </c>
      <c r="D441" s="3" t="s">
        <v>47</v>
      </c>
      <c r="E441" s="3" t="s">
        <v>488</v>
      </c>
      <c r="F441" s="4" t="s">
        <v>43</v>
      </c>
      <c r="G441" s="274" t="s">
        <v>756</v>
      </c>
      <c r="H441" s="278" t="s">
        <v>383</v>
      </c>
      <c r="I441" s="278" t="s">
        <v>494</v>
      </c>
      <c r="J441" s="201">
        <v>38.6</v>
      </c>
      <c r="K441" s="201">
        <v>38.6</v>
      </c>
      <c r="L441" s="201">
        <v>0</v>
      </c>
      <c r="M441" s="201">
        <v>0</v>
      </c>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row>
    <row r="442" spans="1:60" ht="47.25" customHeight="1">
      <c r="A442" s="4"/>
      <c r="B442" s="279"/>
      <c r="C442" s="110" t="s">
        <v>863</v>
      </c>
      <c r="D442" s="3" t="s">
        <v>47</v>
      </c>
      <c r="E442" s="3" t="s">
        <v>488</v>
      </c>
      <c r="F442" s="4" t="s">
        <v>44</v>
      </c>
      <c r="G442" s="275"/>
      <c r="H442" s="279"/>
      <c r="I442" s="279"/>
      <c r="J442" s="201">
        <v>0</v>
      </c>
      <c r="K442" s="201">
        <v>0</v>
      </c>
      <c r="L442" s="201">
        <v>38.6</v>
      </c>
      <c r="M442" s="201">
        <v>38.6</v>
      </c>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row>
    <row r="443" spans="1:60" ht="48" customHeight="1">
      <c r="A443" s="4"/>
      <c r="B443" s="16" t="s">
        <v>754</v>
      </c>
      <c r="C443" s="34"/>
      <c r="D443" s="4"/>
      <c r="E443" s="4" t="s">
        <v>440</v>
      </c>
      <c r="F443" s="4"/>
      <c r="G443" s="119"/>
      <c r="H443" s="4"/>
      <c r="I443" s="119"/>
      <c r="J443" s="201">
        <f>J444</f>
        <v>131.7</v>
      </c>
      <c r="K443" s="201">
        <f>K444</f>
        <v>131.7</v>
      </c>
      <c r="L443" s="201">
        <f>L444</f>
        <v>131.7</v>
      </c>
      <c r="M443" s="201">
        <f>M444</f>
        <v>131.7</v>
      </c>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row>
    <row r="444" spans="1:60" ht="225" customHeight="1">
      <c r="A444" s="4"/>
      <c r="B444" s="16" t="s">
        <v>482</v>
      </c>
      <c r="C444" s="6" t="s">
        <v>829</v>
      </c>
      <c r="D444" s="4" t="s">
        <v>47</v>
      </c>
      <c r="E444" s="4" t="s">
        <v>483</v>
      </c>
      <c r="F444" s="4" t="s">
        <v>44</v>
      </c>
      <c r="G444" s="147" t="s">
        <v>757</v>
      </c>
      <c r="H444" s="7" t="s">
        <v>484</v>
      </c>
      <c r="I444" s="157" t="s">
        <v>486</v>
      </c>
      <c r="J444" s="201">
        <v>131.7</v>
      </c>
      <c r="K444" s="201">
        <v>131.7</v>
      </c>
      <c r="L444" s="201">
        <v>131.7</v>
      </c>
      <c r="M444" s="201">
        <v>131.7</v>
      </c>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row>
    <row r="445" spans="1:60" ht="60" customHeight="1">
      <c r="A445" s="90" t="s">
        <v>466</v>
      </c>
      <c r="B445" s="100" t="s">
        <v>465</v>
      </c>
      <c r="C445" s="90"/>
      <c r="D445" s="90"/>
      <c r="E445" s="90"/>
      <c r="F445" s="90"/>
      <c r="G445" s="90"/>
      <c r="H445" s="90"/>
      <c r="I445" s="90"/>
      <c r="J445" s="200">
        <f>J446</f>
        <v>645.4999999999999</v>
      </c>
      <c r="K445" s="200">
        <f>K446</f>
        <v>645.4999999999999</v>
      </c>
      <c r="L445" s="200">
        <f>L446</f>
        <v>645.4999999999999</v>
      </c>
      <c r="M445" s="200">
        <f>M446</f>
        <v>645.4999999999999</v>
      </c>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row>
    <row r="446" spans="1:60" ht="54" customHeight="1">
      <c r="A446" s="4"/>
      <c r="B446" s="16" t="s">
        <v>754</v>
      </c>
      <c r="C446" s="4"/>
      <c r="D446" s="4"/>
      <c r="E446" s="4" t="s">
        <v>440</v>
      </c>
      <c r="F446" s="4"/>
      <c r="G446" s="4"/>
      <c r="H446" s="4"/>
      <c r="I446" s="4"/>
      <c r="J446" s="201">
        <f>J447+J448</f>
        <v>645.4999999999999</v>
      </c>
      <c r="K446" s="201">
        <f>K447+K448</f>
        <v>645.4999999999999</v>
      </c>
      <c r="L446" s="201">
        <f>L447+L448</f>
        <v>645.4999999999999</v>
      </c>
      <c r="M446" s="201">
        <f>M447+M448</f>
        <v>645.4999999999999</v>
      </c>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row>
    <row r="447" spans="1:60" ht="78.75" customHeight="1">
      <c r="A447" s="4"/>
      <c r="B447" s="16" t="s">
        <v>462</v>
      </c>
      <c r="C447" s="4" t="s">
        <v>859</v>
      </c>
      <c r="D447" s="4" t="s">
        <v>463</v>
      </c>
      <c r="E447" s="4" t="s">
        <v>464</v>
      </c>
      <c r="F447" s="4" t="s">
        <v>43</v>
      </c>
      <c r="G447" s="147" t="s">
        <v>467</v>
      </c>
      <c r="H447" s="7" t="s">
        <v>468</v>
      </c>
      <c r="I447" s="157" t="s">
        <v>469</v>
      </c>
      <c r="J447" s="201">
        <v>81.4</v>
      </c>
      <c r="K447" s="201">
        <v>81.4</v>
      </c>
      <c r="L447" s="201">
        <v>81.4</v>
      </c>
      <c r="M447" s="201">
        <v>81.4</v>
      </c>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row>
    <row r="448" spans="1:60" ht="225.75" customHeight="1">
      <c r="A448" s="4"/>
      <c r="B448" s="16" t="s">
        <v>482</v>
      </c>
      <c r="C448" s="6" t="s">
        <v>829</v>
      </c>
      <c r="D448" s="4" t="s">
        <v>47</v>
      </c>
      <c r="E448" s="4" t="s">
        <v>483</v>
      </c>
      <c r="F448" s="4" t="s">
        <v>43</v>
      </c>
      <c r="G448" s="147" t="s">
        <v>757</v>
      </c>
      <c r="H448" s="7" t="s">
        <v>484</v>
      </c>
      <c r="I448" s="157" t="s">
        <v>485</v>
      </c>
      <c r="J448" s="201">
        <f>695.8-131.7</f>
        <v>564.0999999999999</v>
      </c>
      <c r="K448" s="201">
        <f>695.8-131.7</f>
        <v>564.0999999999999</v>
      </c>
      <c r="L448" s="201">
        <f>695.8-131.7</f>
        <v>564.0999999999999</v>
      </c>
      <c r="M448" s="201">
        <f>695.8-131.7</f>
        <v>564.0999999999999</v>
      </c>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row>
    <row r="449" spans="1:60" ht="165" customHeight="1">
      <c r="A449" s="90" t="s">
        <v>687</v>
      </c>
      <c r="B449" s="100" t="s">
        <v>688</v>
      </c>
      <c r="C449" s="90"/>
      <c r="D449" s="90"/>
      <c r="E449" s="90"/>
      <c r="F449" s="90"/>
      <c r="G449" s="90"/>
      <c r="H449" s="90"/>
      <c r="I449" s="90"/>
      <c r="J449" s="200">
        <f>J450</f>
        <v>5.6</v>
      </c>
      <c r="K449" s="200">
        <f>K450</f>
        <v>5.6</v>
      </c>
      <c r="L449" s="200">
        <f>L450</f>
        <v>1.8399999999999999</v>
      </c>
      <c r="M449" s="200">
        <f>M450</f>
        <v>0</v>
      </c>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row>
    <row r="450" spans="1:60" ht="45" customHeight="1">
      <c r="A450" s="4"/>
      <c r="B450" s="59" t="s">
        <v>697</v>
      </c>
      <c r="C450" s="4"/>
      <c r="D450" s="4"/>
      <c r="E450" s="4" t="s">
        <v>78</v>
      </c>
      <c r="F450" s="4"/>
      <c r="G450" s="4"/>
      <c r="H450" s="4"/>
      <c r="I450" s="4"/>
      <c r="J450" s="201">
        <f>J451+J452</f>
        <v>5.6</v>
      </c>
      <c r="K450" s="201">
        <f>K451+K452</f>
        <v>5.6</v>
      </c>
      <c r="L450" s="201">
        <f>L451+L452</f>
        <v>1.8399999999999999</v>
      </c>
      <c r="M450" s="201">
        <f>M451+M452</f>
        <v>0</v>
      </c>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row>
    <row r="451" spans="1:60" ht="62.25" customHeight="1">
      <c r="A451" s="4"/>
      <c r="B451" s="11" t="s">
        <v>689</v>
      </c>
      <c r="C451" s="4" t="s">
        <v>829</v>
      </c>
      <c r="D451" s="4" t="s">
        <v>47</v>
      </c>
      <c r="E451" s="4" t="s">
        <v>690</v>
      </c>
      <c r="F451" s="4" t="s">
        <v>46</v>
      </c>
      <c r="G451" s="5" t="s">
        <v>758</v>
      </c>
      <c r="H451" s="7" t="s">
        <v>383</v>
      </c>
      <c r="I451" s="113" t="s">
        <v>693</v>
      </c>
      <c r="J451" s="201">
        <v>0.48</v>
      </c>
      <c r="K451" s="201">
        <v>0.48</v>
      </c>
      <c r="L451" s="201">
        <v>0.16</v>
      </c>
      <c r="M451" s="201">
        <v>0</v>
      </c>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row>
    <row r="452" spans="1:60" ht="176.25" customHeight="1">
      <c r="A452" s="4"/>
      <c r="B452" s="11" t="s">
        <v>691</v>
      </c>
      <c r="C452" s="4" t="s">
        <v>829</v>
      </c>
      <c r="D452" s="4" t="s">
        <v>47</v>
      </c>
      <c r="E452" s="4" t="s">
        <v>692</v>
      </c>
      <c r="F452" s="4" t="s">
        <v>46</v>
      </c>
      <c r="G452" s="5" t="s">
        <v>759</v>
      </c>
      <c r="H452" s="7" t="s">
        <v>383</v>
      </c>
      <c r="I452" s="113" t="s">
        <v>694</v>
      </c>
      <c r="J452" s="201">
        <v>5.12</v>
      </c>
      <c r="K452" s="201">
        <v>5.12</v>
      </c>
      <c r="L452" s="201">
        <v>1.68</v>
      </c>
      <c r="M452" s="201">
        <v>0</v>
      </c>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row>
    <row r="453" spans="1:60" ht="60" customHeight="1">
      <c r="A453" s="90" t="s">
        <v>495</v>
      </c>
      <c r="B453" s="100" t="s">
        <v>505</v>
      </c>
      <c r="C453" s="90"/>
      <c r="D453" s="90"/>
      <c r="E453" s="90"/>
      <c r="F453" s="90"/>
      <c r="G453" s="90"/>
      <c r="H453" s="90"/>
      <c r="I453" s="90"/>
      <c r="J453" s="200">
        <f>J454+J457</f>
        <v>13753.358390000001</v>
      </c>
      <c r="K453" s="200">
        <f>K454+K457</f>
        <v>13753.358390000001</v>
      </c>
      <c r="L453" s="200">
        <f>L454+L457</f>
        <v>18132.468679999994</v>
      </c>
      <c r="M453" s="200">
        <f>M454+M457</f>
        <v>20312.32102</v>
      </c>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row>
    <row r="454" spans="1:13" ht="49.5" customHeight="1">
      <c r="A454" s="4"/>
      <c r="B454" s="15" t="s">
        <v>225</v>
      </c>
      <c r="C454" s="4"/>
      <c r="D454" s="4"/>
      <c r="E454" s="4" t="s">
        <v>80</v>
      </c>
      <c r="F454" s="4"/>
      <c r="G454" s="32"/>
      <c r="H454" s="69"/>
      <c r="I454" s="69"/>
      <c r="J454" s="201">
        <f>J455+J456</f>
        <v>13475.75839</v>
      </c>
      <c r="K454" s="201">
        <f>K455+K456</f>
        <v>13475.75839</v>
      </c>
      <c r="L454" s="201">
        <f>L455+L456</f>
        <v>17854.868679999996</v>
      </c>
      <c r="M454" s="201">
        <f>M455+M456</f>
        <v>20034.72102</v>
      </c>
    </row>
    <row r="455" spans="1:13" ht="49.5" customHeight="1">
      <c r="A455" s="4"/>
      <c r="B455" s="16" t="s">
        <v>496</v>
      </c>
      <c r="C455" s="198" t="s">
        <v>829</v>
      </c>
      <c r="D455" s="4" t="s">
        <v>10</v>
      </c>
      <c r="E455" s="4" t="s">
        <v>497</v>
      </c>
      <c r="F455" s="4" t="s">
        <v>44</v>
      </c>
      <c r="G455" s="326" t="s">
        <v>588</v>
      </c>
      <c r="H455" s="316" t="s">
        <v>503</v>
      </c>
      <c r="I455" s="316" t="s">
        <v>504</v>
      </c>
      <c r="J455" s="201">
        <f>588+0.04927</f>
        <v>588.04927</v>
      </c>
      <c r="K455" s="201">
        <f>588+0.04927</f>
        <v>588.04927</v>
      </c>
      <c r="L455" s="201">
        <f>671.3-0.04348</f>
        <v>671.2565199999999</v>
      </c>
      <c r="M455" s="201">
        <f>703.2-0.04266</f>
        <v>703.1573400000001</v>
      </c>
    </row>
    <row r="456" spans="1:13" ht="90" customHeight="1">
      <c r="A456" s="4"/>
      <c r="B456" s="16" t="s">
        <v>502</v>
      </c>
      <c r="C456" s="198" t="s">
        <v>829</v>
      </c>
      <c r="D456" s="4" t="s">
        <v>500</v>
      </c>
      <c r="E456" s="4" t="s">
        <v>501</v>
      </c>
      <c r="F456" s="4" t="s">
        <v>134</v>
      </c>
      <c r="G456" s="326"/>
      <c r="H456" s="316"/>
      <c r="I456" s="316"/>
      <c r="J456" s="201">
        <f>12887.7+0.00912</f>
        <v>12887.709120000001</v>
      </c>
      <c r="K456" s="201">
        <f>12887.7+0.00912</f>
        <v>12887.709120000001</v>
      </c>
      <c r="L456" s="201">
        <f>17183.6+0.01216</f>
        <v>17183.612159999997</v>
      </c>
      <c r="M456" s="201">
        <f>19331.6-0.03632</f>
        <v>19331.56368</v>
      </c>
    </row>
    <row r="457" spans="1:13" ht="34.5" customHeight="1">
      <c r="A457" s="3"/>
      <c r="B457" s="11" t="s">
        <v>802</v>
      </c>
      <c r="C457" s="4"/>
      <c r="D457" s="3"/>
      <c r="E457" s="3" t="s">
        <v>440</v>
      </c>
      <c r="F457" s="4"/>
      <c r="G457" s="326"/>
      <c r="H457" s="316"/>
      <c r="I457" s="316"/>
      <c r="J457" s="201">
        <f>J458+J459</f>
        <v>277.6</v>
      </c>
      <c r="K457" s="201">
        <f>K458+K459</f>
        <v>277.6</v>
      </c>
      <c r="L457" s="201">
        <f>L458+L459</f>
        <v>277.6</v>
      </c>
      <c r="M457" s="201">
        <f>M458+M459</f>
        <v>277.6</v>
      </c>
    </row>
    <row r="458" spans="1:13" ht="37.5" customHeight="1">
      <c r="A458" s="278"/>
      <c r="B458" s="331" t="s">
        <v>498</v>
      </c>
      <c r="C458" s="198" t="s">
        <v>829</v>
      </c>
      <c r="D458" s="103" t="s">
        <v>10</v>
      </c>
      <c r="E458" s="278" t="s">
        <v>830</v>
      </c>
      <c r="F458" s="4" t="s">
        <v>43</v>
      </c>
      <c r="G458" s="326"/>
      <c r="H458" s="316"/>
      <c r="I458" s="316"/>
      <c r="J458" s="201">
        <v>140</v>
      </c>
      <c r="K458" s="201">
        <v>140</v>
      </c>
      <c r="L458" s="201">
        <v>140</v>
      </c>
      <c r="M458" s="201">
        <v>140</v>
      </c>
    </row>
    <row r="459" spans="1:13" ht="37.5" customHeight="1">
      <c r="A459" s="279"/>
      <c r="B459" s="338"/>
      <c r="C459" s="198" t="s">
        <v>829</v>
      </c>
      <c r="D459" s="69" t="s">
        <v>10</v>
      </c>
      <c r="E459" s="279"/>
      <c r="F459" s="4" t="s">
        <v>44</v>
      </c>
      <c r="G459" s="326"/>
      <c r="H459" s="316"/>
      <c r="I459" s="316"/>
      <c r="J459" s="201">
        <v>137.6</v>
      </c>
      <c r="K459" s="201">
        <v>137.6</v>
      </c>
      <c r="L459" s="201">
        <v>137.6</v>
      </c>
      <c r="M459" s="201">
        <v>137.6</v>
      </c>
    </row>
    <row r="460" spans="1:60" ht="330" customHeight="1">
      <c r="A460" s="90" t="s">
        <v>559</v>
      </c>
      <c r="B460" s="100" t="s">
        <v>560</v>
      </c>
      <c r="C460" s="90"/>
      <c r="D460" s="90"/>
      <c r="E460" s="90"/>
      <c r="F460" s="90"/>
      <c r="G460" s="90"/>
      <c r="H460" s="90"/>
      <c r="I460" s="90"/>
      <c r="J460" s="200">
        <f>J461+J470</f>
        <v>28020.73005</v>
      </c>
      <c r="K460" s="200">
        <f>K461+K470</f>
        <v>28020.73005</v>
      </c>
      <c r="L460" s="200">
        <f>L461+L470</f>
        <v>26789.748999999996</v>
      </c>
      <c r="M460" s="200">
        <f>M461+M470</f>
        <v>26001.286999999997</v>
      </c>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row>
    <row r="461" spans="1:60" ht="30" customHeight="1">
      <c r="A461" s="4"/>
      <c r="B461" s="16" t="s">
        <v>337</v>
      </c>
      <c r="C461" s="4"/>
      <c r="D461" s="4"/>
      <c r="E461" s="4" t="s">
        <v>84</v>
      </c>
      <c r="F461" s="4"/>
      <c r="G461" s="152"/>
      <c r="H461" s="119"/>
      <c r="I461" s="119"/>
      <c r="J461" s="201">
        <f>J462+J463+J464+J465+J466+J467+J468+J469</f>
        <v>27514.542589999997</v>
      </c>
      <c r="K461" s="201">
        <f>K462+K463+K464+K465+K466+K467+K468+K469</f>
        <v>27514.542589999997</v>
      </c>
      <c r="L461" s="201">
        <f>L462+L463+L464+L465+L466+L467+L468+L469</f>
        <v>21830.6</v>
      </c>
      <c r="M461" s="201">
        <f>M462+M463+M464+M465+M466+M467+M468+M469</f>
        <v>22085.1</v>
      </c>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row>
    <row r="462" spans="1:60" ht="80.25" customHeight="1">
      <c r="A462" s="4"/>
      <c r="B462" s="331" t="s">
        <v>825</v>
      </c>
      <c r="C462" s="4" t="s">
        <v>867</v>
      </c>
      <c r="D462" s="69" t="s">
        <v>12</v>
      </c>
      <c r="E462" s="169" t="s">
        <v>575</v>
      </c>
      <c r="F462" s="4" t="s">
        <v>325</v>
      </c>
      <c r="G462" s="291" t="s">
        <v>760</v>
      </c>
      <c r="H462" s="342" t="s">
        <v>652</v>
      </c>
      <c r="I462" s="342" t="s">
        <v>653</v>
      </c>
      <c r="J462" s="202">
        <f>850+27.5</f>
        <v>877.5</v>
      </c>
      <c r="K462" s="202">
        <f>850+27.5</f>
        <v>877.5</v>
      </c>
      <c r="L462" s="202">
        <v>850</v>
      </c>
      <c r="M462" s="202">
        <v>850</v>
      </c>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row>
    <row r="463" spans="1:60" ht="76.5" customHeight="1">
      <c r="A463" s="4"/>
      <c r="B463" s="338"/>
      <c r="C463" s="4" t="s">
        <v>867</v>
      </c>
      <c r="D463" s="69" t="s">
        <v>12</v>
      </c>
      <c r="E463" s="169" t="s">
        <v>575</v>
      </c>
      <c r="F463" s="4" t="s">
        <v>48</v>
      </c>
      <c r="G463" s="292"/>
      <c r="H463" s="342"/>
      <c r="I463" s="342"/>
      <c r="J463" s="202">
        <f>1292.5-27.5</f>
        <v>1265</v>
      </c>
      <c r="K463" s="202">
        <f>1292.5-27.5</f>
        <v>1265</v>
      </c>
      <c r="L463" s="202">
        <v>1292.5</v>
      </c>
      <c r="M463" s="202">
        <v>1292.5</v>
      </c>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row>
    <row r="464" spans="1:60" ht="144.75" customHeight="1">
      <c r="A464" s="4"/>
      <c r="B464" s="331" t="s">
        <v>562</v>
      </c>
      <c r="C464" s="4" t="s">
        <v>867</v>
      </c>
      <c r="D464" s="69" t="s">
        <v>12</v>
      </c>
      <c r="E464" s="175" t="s">
        <v>553</v>
      </c>
      <c r="F464" s="4" t="s">
        <v>325</v>
      </c>
      <c r="G464" s="274" t="s">
        <v>761</v>
      </c>
      <c r="H464" s="280" t="s">
        <v>654</v>
      </c>
      <c r="I464" s="280" t="s">
        <v>655</v>
      </c>
      <c r="J464" s="202">
        <f>1317.7+790.90229</f>
        <v>2108.60229</v>
      </c>
      <c r="K464" s="202">
        <f>1317.7+790.90229</f>
        <v>2108.60229</v>
      </c>
      <c r="L464" s="202">
        <f>1317.7-542.1+150</f>
        <v>925.6</v>
      </c>
      <c r="M464" s="202">
        <f>1317.7-525.5+200</f>
        <v>992.2</v>
      </c>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row>
    <row r="465" spans="1:60" ht="126" customHeight="1">
      <c r="A465" s="4"/>
      <c r="B465" s="338"/>
      <c r="C465" s="4" t="s">
        <v>867</v>
      </c>
      <c r="D465" s="69" t="s">
        <v>12</v>
      </c>
      <c r="E465" s="161" t="s">
        <v>553</v>
      </c>
      <c r="F465" s="4" t="s">
        <v>48</v>
      </c>
      <c r="G465" s="275"/>
      <c r="H465" s="281"/>
      <c r="I465" s="281"/>
      <c r="J465" s="202">
        <f>14951.9+306.86759-3645.6+1163.026</f>
        <v>12776.193589999999</v>
      </c>
      <c r="K465" s="202">
        <f>14951.9+306.86759-3645.6+1163.026</f>
        <v>12776.193589999999</v>
      </c>
      <c r="L465" s="202">
        <f>14951.9-6151.3</f>
        <v>8800.599999999999</v>
      </c>
      <c r="M465" s="202">
        <f>14951.9-5964.1</f>
        <v>8987.8</v>
      </c>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row>
    <row r="466" spans="1:60" ht="50.25" customHeight="1">
      <c r="A466" s="278"/>
      <c r="B466" s="374" t="s">
        <v>824</v>
      </c>
      <c r="C466" s="120" t="s">
        <v>867</v>
      </c>
      <c r="D466" s="120" t="s">
        <v>85</v>
      </c>
      <c r="E466" s="175" t="s">
        <v>553</v>
      </c>
      <c r="F466" s="120" t="s">
        <v>48</v>
      </c>
      <c r="G466" s="313" t="s">
        <v>762</v>
      </c>
      <c r="H466" s="280" t="s">
        <v>656</v>
      </c>
      <c r="I466" s="280" t="s">
        <v>657</v>
      </c>
      <c r="J466" s="202">
        <f>K466</f>
        <v>2541.735</v>
      </c>
      <c r="K466" s="202">
        <v>2541.735</v>
      </c>
      <c r="L466" s="202">
        <v>2315.35</v>
      </c>
      <c r="M466" s="202">
        <v>2315.35</v>
      </c>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row>
    <row r="467" spans="1:60" ht="50.25" customHeight="1">
      <c r="A467" s="287"/>
      <c r="B467" s="375"/>
      <c r="C467" s="4" t="s">
        <v>867</v>
      </c>
      <c r="D467" s="119" t="s">
        <v>85</v>
      </c>
      <c r="E467" s="175" t="s">
        <v>553</v>
      </c>
      <c r="F467" s="4" t="s">
        <v>340</v>
      </c>
      <c r="G467" s="314"/>
      <c r="H467" s="290"/>
      <c r="I467" s="290"/>
      <c r="J467" s="202">
        <f>1221.10871-21.197</f>
        <v>1199.91171</v>
      </c>
      <c r="K467" s="202">
        <f>1221.10871-21.197</f>
        <v>1199.91171</v>
      </c>
      <c r="L467" s="202">
        <f>1075.95</f>
        <v>1075.95</v>
      </c>
      <c r="M467" s="202">
        <f>1075.95</f>
        <v>1075.95</v>
      </c>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row>
    <row r="468" spans="1:60" ht="50.25" customHeight="1">
      <c r="A468" s="287"/>
      <c r="B468" s="375"/>
      <c r="C468" s="4" t="s">
        <v>867</v>
      </c>
      <c r="D468" s="119" t="s">
        <v>83</v>
      </c>
      <c r="E468" s="270" t="s">
        <v>553</v>
      </c>
      <c r="F468" s="4" t="s">
        <v>48</v>
      </c>
      <c r="G468" s="314"/>
      <c r="H468" s="290"/>
      <c r="I468" s="290"/>
      <c r="J468" s="202">
        <f>6607.6+130.74</f>
        <v>6738.34</v>
      </c>
      <c r="K468" s="202">
        <f>6607.6+130.74</f>
        <v>6738.34</v>
      </c>
      <c r="L468" s="202">
        <f>6666.9-98.6</f>
        <v>6568.299999999999</v>
      </c>
      <c r="M468" s="202">
        <f>6666.9-98.6</f>
        <v>6568.299999999999</v>
      </c>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row>
    <row r="469" spans="1:60" ht="79.5" customHeight="1">
      <c r="A469" s="279"/>
      <c r="B469" s="375"/>
      <c r="C469" s="4" t="s">
        <v>867</v>
      </c>
      <c r="D469" s="119" t="s">
        <v>13</v>
      </c>
      <c r="E469" s="175" t="s">
        <v>553</v>
      </c>
      <c r="F469" s="4" t="s">
        <v>44</v>
      </c>
      <c r="G469" s="314"/>
      <c r="H469" s="290"/>
      <c r="I469" s="290"/>
      <c r="J469" s="202">
        <f>K469</f>
        <v>7.26</v>
      </c>
      <c r="K469" s="202">
        <v>7.26</v>
      </c>
      <c r="L469" s="202">
        <v>2.3</v>
      </c>
      <c r="M469" s="202">
        <v>3</v>
      </c>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row>
    <row r="470" spans="1:60" ht="45" customHeight="1">
      <c r="A470" s="4"/>
      <c r="B470" s="59" t="s">
        <v>697</v>
      </c>
      <c r="C470" s="4"/>
      <c r="D470" s="119"/>
      <c r="E470" s="170" t="s">
        <v>78</v>
      </c>
      <c r="F470" s="120"/>
      <c r="G470" s="166"/>
      <c r="H470" s="119"/>
      <c r="I470" s="119"/>
      <c r="J470" s="201">
        <f>J472+J474+J473</f>
        <v>506.18746</v>
      </c>
      <c r="K470" s="201">
        <f>K472+K474+K473</f>
        <v>506.18746</v>
      </c>
      <c r="L470" s="201">
        <f>L472+L474+L473+L471</f>
        <v>4959.148999999999</v>
      </c>
      <c r="M470" s="201">
        <f>M472+M474+M473+M471</f>
        <v>3916.187</v>
      </c>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row>
    <row r="471" spans="1:60" ht="62.25" customHeight="1">
      <c r="A471" s="4"/>
      <c r="B471" s="11" t="s">
        <v>999</v>
      </c>
      <c r="C471" s="4" t="s">
        <v>867</v>
      </c>
      <c r="D471" s="119" t="s">
        <v>433</v>
      </c>
      <c r="E471" s="161" t="s">
        <v>561</v>
      </c>
      <c r="F471" s="120" t="s">
        <v>44</v>
      </c>
      <c r="G471" s="313" t="s">
        <v>763</v>
      </c>
      <c r="H471" s="340" t="s">
        <v>383</v>
      </c>
      <c r="I471" s="278" t="s">
        <v>764</v>
      </c>
      <c r="J471" s="201">
        <v>0</v>
      </c>
      <c r="K471" s="201">
        <v>0</v>
      </c>
      <c r="L471" s="201">
        <v>44.1</v>
      </c>
      <c r="M471" s="201">
        <v>33.807</v>
      </c>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row>
    <row r="472" spans="1:60" ht="155.25" customHeight="1">
      <c r="A472" s="4"/>
      <c r="B472" s="11" t="s">
        <v>823</v>
      </c>
      <c r="C472" s="4" t="s">
        <v>867</v>
      </c>
      <c r="D472" s="119" t="s">
        <v>12</v>
      </c>
      <c r="E472" s="161" t="s">
        <v>561</v>
      </c>
      <c r="F472" s="4" t="s">
        <v>325</v>
      </c>
      <c r="G472" s="321"/>
      <c r="H472" s="341"/>
      <c r="I472" s="279"/>
      <c r="J472" s="202">
        <v>0</v>
      </c>
      <c r="K472" s="202">
        <v>0</v>
      </c>
      <c r="L472" s="202">
        <f>4456.4+0.013-44.1</f>
        <v>4412.312999999999</v>
      </c>
      <c r="M472" s="202">
        <f>3413.5-0.049-33.807</f>
        <v>3379.6440000000002</v>
      </c>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row>
    <row r="473" spans="1:60" ht="155.25" customHeight="1">
      <c r="A473" s="4"/>
      <c r="B473" s="11" t="s">
        <v>857</v>
      </c>
      <c r="C473" s="229" t="s">
        <v>5</v>
      </c>
      <c r="D473" s="4" t="s">
        <v>12</v>
      </c>
      <c r="E473" s="4" t="s">
        <v>858</v>
      </c>
      <c r="F473" s="4" t="s">
        <v>46</v>
      </c>
      <c r="G473" s="147" t="s">
        <v>917</v>
      </c>
      <c r="H473" s="6" t="s">
        <v>383</v>
      </c>
      <c r="I473" s="113" t="s">
        <v>229</v>
      </c>
      <c r="J473" s="201"/>
      <c r="K473" s="201"/>
      <c r="L473" s="201"/>
      <c r="M473" s="201"/>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row>
    <row r="474" spans="1:60" ht="126" customHeight="1">
      <c r="A474" s="4"/>
      <c r="B474" s="11" t="s">
        <v>918</v>
      </c>
      <c r="C474" s="229" t="s">
        <v>5</v>
      </c>
      <c r="D474" s="4" t="s">
        <v>12</v>
      </c>
      <c r="E474" s="4" t="s">
        <v>919</v>
      </c>
      <c r="F474" s="4" t="s">
        <v>46</v>
      </c>
      <c r="G474" s="147" t="s">
        <v>920</v>
      </c>
      <c r="H474" s="6" t="s">
        <v>921</v>
      </c>
      <c r="I474" s="113" t="s">
        <v>922</v>
      </c>
      <c r="J474" s="201">
        <f>407.44846+98.739</f>
        <v>506.18746</v>
      </c>
      <c r="K474" s="201">
        <f>407.44846+98.739</f>
        <v>506.18746</v>
      </c>
      <c r="L474" s="201">
        <f>403.997+98.739</f>
        <v>502.736</v>
      </c>
      <c r="M474" s="201">
        <f>403.997+98.739</f>
        <v>502.736</v>
      </c>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row>
    <row r="475" spans="1:60" ht="360" customHeight="1">
      <c r="A475" s="90" t="s">
        <v>563</v>
      </c>
      <c r="B475" s="100" t="s">
        <v>564</v>
      </c>
      <c r="C475" s="90"/>
      <c r="D475" s="90"/>
      <c r="E475" s="90"/>
      <c r="F475" s="90"/>
      <c r="G475" s="90"/>
      <c r="H475" s="90"/>
      <c r="I475" s="90"/>
      <c r="J475" s="200">
        <f>J476</f>
        <v>3658.5</v>
      </c>
      <c r="K475" s="200">
        <f>K476</f>
        <v>3658.5</v>
      </c>
      <c r="L475" s="200">
        <f>L476</f>
        <v>5006.2</v>
      </c>
      <c r="M475" s="200">
        <f>M476</f>
        <v>5578.5</v>
      </c>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row>
    <row r="476" spans="1:60" ht="30" customHeight="1">
      <c r="A476" s="4"/>
      <c r="B476" s="16" t="s">
        <v>337</v>
      </c>
      <c r="C476" s="4"/>
      <c r="D476" s="4"/>
      <c r="E476" s="4" t="s">
        <v>84</v>
      </c>
      <c r="F476" s="4"/>
      <c r="G476" s="166"/>
      <c r="H476" s="119"/>
      <c r="I476" s="119"/>
      <c r="J476" s="201">
        <f>J477+J480+J481+J482+J478+J479</f>
        <v>3658.5</v>
      </c>
      <c r="K476" s="201">
        <f>K477+K480+K481+K482+K478+K479</f>
        <v>3658.5</v>
      </c>
      <c r="L476" s="201">
        <f>L477+L480+L481+L482+L478+L479</f>
        <v>5006.2</v>
      </c>
      <c r="M476" s="201">
        <f>M477+M480+M481+M482+M478+M479</f>
        <v>5578.5</v>
      </c>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row>
    <row r="477" spans="1:60" ht="63" customHeight="1">
      <c r="A477" s="316"/>
      <c r="B477" s="377" t="s">
        <v>765</v>
      </c>
      <c r="C477" s="4" t="s">
        <v>867</v>
      </c>
      <c r="D477" s="119" t="s">
        <v>13</v>
      </c>
      <c r="E477" s="14" t="s">
        <v>553</v>
      </c>
      <c r="F477" s="4" t="s">
        <v>44</v>
      </c>
      <c r="G477" s="274" t="s">
        <v>956</v>
      </c>
      <c r="H477" s="280" t="s">
        <v>923</v>
      </c>
      <c r="I477" s="280" t="s">
        <v>924</v>
      </c>
      <c r="J477" s="202">
        <f>125-112.89835</f>
        <v>12.101650000000006</v>
      </c>
      <c r="K477" s="202">
        <f>125-112.89835</f>
        <v>12.101650000000006</v>
      </c>
      <c r="L477" s="202">
        <f>146</f>
        <v>146</v>
      </c>
      <c r="M477" s="202">
        <f>162</f>
        <v>162</v>
      </c>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row>
    <row r="478" spans="1:60" ht="256.5" customHeight="1">
      <c r="A478" s="287"/>
      <c r="B478" s="378"/>
      <c r="C478" s="120" t="s">
        <v>859</v>
      </c>
      <c r="D478" s="263" t="s">
        <v>13</v>
      </c>
      <c r="E478" s="161" t="s">
        <v>553</v>
      </c>
      <c r="F478" s="120" t="s">
        <v>44</v>
      </c>
      <c r="G478" s="312"/>
      <c r="H478" s="315"/>
      <c r="I478" s="315"/>
      <c r="J478" s="202">
        <f>112.89835-46.49586</f>
        <v>66.40249</v>
      </c>
      <c r="K478" s="202">
        <f>112.89835-46.49586</f>
        <v>66.40249</v>
      </c>
      <c r="L478" s="202">
        <v>0</v>
      </c>
      <c r="M478" s="202">
        <v>0</v>
      </c>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row>
    <row r="479" spans="1:60" ht="58.5" customHeight="1">
      <c r="A479" s="287"/>
      <c r="B479" s="378"/>
      <c r="C479" s="120" t="s">
        <v>859</v>
      </c>
      <c r="D479" s="263" t="s">
        <v>13</v>
      </c>
      <c r="E479" s="161" t="s">
        <v>553</v>
      </c>
      <c r="F479" s="120" t="s">
        <v>230</v>
      </c>
      <c r="G479" s="312"/>
      <c r="H479" s="315"/>
      <c r="I479" s="315"/>
      <c r="J479" s="202">
        <v>46.49586</v>
      </c>
      <c r="K479" s="202">
        <v>46.49586</v>
      </c>
      <c r="L479" s="202">
        <v>0</v>
      </c>
      <c r="M479" s="202">
        <v>0</v>
      </c>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row>
    <row r="480" spans="1:60" ht="20.25" customHeight="1">
      <c r="A480" s="287"/>
      <c r="B480" s="332"/>
      <c r="C480" s="4" t="s">
        <v>867</v>
      </c>
      <c r="D480" s="119" t="s">
        <v>500</v>
      </c>
      <c r="E480" s="14" t="s">
        <v>553</v>
      </c>
      <c r="F480" s="4" t="s">
        <v>117</v>
      </c>
      <c r="G480" s="289"/>
      <c r="H480" s="290"/>
      <c r="I480" s="290"/>
      <c r="J480" s="202">
        <v>150</v>
      </c>
      <c r="K480" s="202">
        <v>150</v>
      </c>
      <c r="L480" s="202">
        <v>160</v>
      </c>
      <c r="M480" s="202">
        <v>170</v>
      </c>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row>
    <row r="481" spans="1:60" ht="21.75" customHeight="1">
      <c r="A481" s="287"/>
      <c r="B481" s="332"/>
      <c r="C481" s="4" t="s">
        <v>867</v>
      </c>
      <c r="D481" s="119" t="s">
        <v>500</v>
      </c>
      <c r="E481" s="14" t="s">
        <v>553</v>
      </c>
      <c r="F481" s="4" t="s">
        <v>48</v>
      </c>
      <c r="G481" s="289"/>
      <c r="H481" s="290"/>
      <c r="I481" s="290"/>
      <c r="J481" s="202">
        <f>2645.4-390.9</f>
        <v>2254.5</v>
      </c>
      <c r="K481" s="202">
        <f>2645.4-390.9</f>
        <v>2254.5</v>
      </c>
      <c r="L481" s="202">
        <v>3100.2</v>
      </c>
      <c r="M481" s="202">
        <v>3463.3</v>
      </c>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row>
    <row r="482" spans="1:60" ht="21.75" customHeight="1">
      <c r="A482" s="279"/>
      <c r="B482" s="338"/>
      <c r="C482" s="4" t="s">
        <v>867</v>
      </c>
      <c r="D482" s="119" t="s">
        <v>500</v>
      </c>
      <c r="E482" s="14" t="s">
        <v>553</v>
      </c>
      <c r="F482" s="4" t="s">
        <v>340</v>
      </c>
      <c r="G482" s="275"/>
      <c r="H482" s="281"/>
      <c r="I482" s="281"/>
      <c r="J482" s="202">
        <f>1365-236</f>
        <v>1129</v>
      </c>
      <c r="K482" s="202">
        <f>1365-236</f>
        <v>1129</v>
      </c>
      <c r="L482" s="202">
        <v>1600</v>
      </c>
      <c r="M482" s="202">
        <v>1783.2</v>
      </c>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row>
    <row r="483" spans="1:60" ht="135" customHeight="1">
      <c r="A483" s="90" t="s">
        <v>448</v>
      </c>
      <c r="B483" s="100" t="s">
        <v>499</v>
      </c>
      <c r="C483" s="90"/>
      <c r="D483" s="90"/>
      <c r="E483" s="90"/>
      <c r="F483" s="90"/>
      <c r="G483" s="90"/>
      <c r="H483" s="90"/>
      <c r="I483" s="90"/>
      <c r="J483" s="200">
        <f>J484</f>
        <v>2026.8000000000002</v>
      </c>
      <c r="K483" s="200">
        <f>K484</f>
        <v>2026.8000000000002</v>
      </c>
      <c r="L483" s="200">
        <f>L484</f>
        <v>2026.8</v>
      </c>
      <c r="M483" s="200">
        <f>M484</f>
        <v>2026.8</v>
      </c>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row>
    <row r="484" spans="1:60" ht="53.25" customHeight="1">
      <c r="A484" s="4"/>
      <c r="B484" s="16" t="s">
        <v>754</v>
      </c>
      <c r="C484" s="4"/>
      <c r="D484" s="4"/>
      <c r="E484" s="4" t="s">
        <v>440</v>
      </c>
      <c r="F484" s="4"/>
      <c r="G484" s="4"/>
      <c r="H484" s="4"/>
      <c r="I484" s="4"/>
      <c r="J484" s="201">
        <f>J485+J487+J488+J486</f>
        <v>2026.8000000000002</v>
      </c>
      <c r="K484" s="201">
        <f>K485+K487+K488+K486</f>
        <v>2026.8000000000002</v>
      </c>
      <c r="L484" s="201">
        <f>L485+L487+L488+L486</f>
        <v>2026.8</v>
      </c>
      <c r="M484" s="201">
        <f>M485+M487+M488+M486</f>
        <v>2026.8</v>
      </c>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row>
    <row r="485" spans="1:60" ht="37.5" customHeight="1">
      <c r="A485" s="4"/>
      <c r="B485" s="331" t="s">
        <v>449</v>
      </c>
      <c r="C485" s="34" t="s">
        <v>863</v>
      </c>
      <c r="D485" s="4" t="s">
        <v>433</v>
      </c>
      <c r="E485" s="4" t="s">
        <v>450</v>
      </c>
      <c r="F485" s="4" t="s">
        <v>43</v>
      </c>
      <c r="G485" s="296" t="s">
        <v>459</v>
      </c>
      <c r="H485" s="278" t="s">
        <v>460</v>
      </c>
      <c r="I485" s="278" t="s">
        <v>461</v>
      </c>
      <c r="J485" s="201">
        <f>1951.3-103.5-113.95456</f>
        <v>1733.84544</v>
      </c>
      <c r="K485" s="201">
        <f>1951.3-103.5-113.95456</f>
        <v>1733.84544</v>
      </c>
      <c r="L485" s="201">
        <f>1951.3-103.5</f>
        <v>1847.8</v>
      </c>
      <c r="M485" s="201">
        <f>1951.3-103.5</f>
        <v>1847.8</v>
      </c>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row>
    <row r="486" spans="1:60" ht="37.5" customHeight="1">
      <c r="A486" s="4"/>
      <c r="B486" s="338"/>
      <c r="C486" s="34" t="s">
        <v>863</v>
      </c>
      <c r="D486" s="4" t="s">
        <v>433</v>
      </c>
      <c r="E486" s="4" t="s">
        <v>450</v>
      </c>
      <c r="F486" s="4" t="s">
        <v>44</v>
      </c>
      <c r="G486" s="298"/>
      <c r="H486" s="279"/>
      <c r="I486" s="279"/>
      <c r="J486" s="201">
        <f>103.5+113.95456</f>
        <v>217.45456000000001</v>
      </c>
      <c r="K486" s="201">
        <f>103.5+113.95456</f>
        <v>217.45456000000001</v>
      </c>
      <c r="L486" s="201">
        <v>103.5</v>
      </c>
      <c r="M486" s="201">
        <v>103.5</v>
      </c>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row>
    <row r="487" spans="1:60" ht="61.5" customHeight="1">
      <c r="A487" s="4"/>
      <c r="B487" s="158" t="s">
        <v>451</v>
      </c>
      <c r="C487" s="34" t="s">
        <v>863</v>
      </c>
      <c r="D487" s="4" t="s">
        <v>118</v>
      </c>
      <c r="E487" s="4" t="s">
        <v>452</v>
      </c>
      <c r="F487" s="4" t="s">
        <v>44</v>
      </c>
      <c r="G487" s="5" t="s">
        <v>455</v>
      </c>
      <c r="H487" s="4" t="s">
        <v>120</v>
      </c>
      <c r="I487" s="4" t="s">
        <v>456</v>
      </c>
      <c r="J487" s="201">
        <v>17.2</v>
      </c>
      <c r="K487" s="201">
        <v>17.2</v>
      </c>
      <c r="L487" s="201">
        <v>17.2</v>
      </c>
      <c r="M487" s="201">
        <v>17.2</v>
      </c>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row>
    <row r="488" spans="1:60" ht="124.5" customHeight="1">
      <c r="A488" s="4"/>
      <c r="B488" s="156" t="s">
        <v>453</v>
      </c>
      <c r="C488" s="34" t="s">
        <v>863</v>
      </c>
      <c r="D488" s="4" t="s">
        <v>118</v>
      </c>
      <c r="E488" s="4" t="s">
        <v>454</v>
      </c>
      <c r="F488" s="4" t="s">
        <v>43</v>
      </c>
      <c r="G488" s="5" t="s">
        <v>766</v>
      </c>
      <c r="H488" s="7" t="s">
        <v>457</v>
      </c>
      <c r="I488" s="7" t="s">
        <v>458</v>
      </c>
      <c r="J488" s="201">
        <v>58.3</v>
      </c>
      <c r="K488" s="201">
        <v>58.3</v>
      </c>
      <c r="L488" s="201">
        <v>58.3</v>
      </c>
      <c r="M488" s="201">
        <v>58.3</v>
      </c>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row>
    <row r="489" spans="1:60" ht="180" customHeight="1">
      <c r="A489" s="90" t="s">
        <v>556</v>
      </c>
      <c r="B489" s="100" t="s">
        <v>555</v>
      </c>
      <c r="C489" s="90"/>
      <c r="D489" s="90"/>
      <c r="E489" s="90"/>
      <c r="F489" s="90"/>
      <c r="G489" s="90"/>
      <c r="H489" s="90"/>
      <c r="I489" s="90"/>
      <c r="J489" s="200">
        <f>J490+J494+J492</f>
        <v>4663.4</v>
      </c>
      <c r="K489" s="200">
        <f>K490+K494+K492</f>
        <v>4663.4</v>
      </c>
      <c r="L489" s="200">
        <f>L490+L494+L492</f>
        <v>6163.4</v>
      </c>
      <c r="M489" s="200">
        <f>M490+M494+M492</f>
        <v>6163.4</v>
      </c>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row>
    <row r="490" spans="1:60" ht="30" customHeight="1">
      <c r="A490" s="120"/>
      <c r="B490" s="16" t="s">
        <v>337</v>
      </c>
      <c r="C490" s="120"/>
      <c r="D490" s="120"/>
      <c r="E490" s="120" t="s">
        <v>84</v>
      </c>
      <c r="F490" s="120"/>
      <c r="G490" s="120"/>
      <c r="H490" s="120"/>
      <c r="I490" s="120"/>
      <c r="J490" s="201">
        <f>J491</f>
        <v>1889.87</v>
      </c>
      <c r="K490" s="201">
        <f>K491</f>
        <v>1889.87</v>
      </c>
      <c r="L490" s="201">
        <f>L491</f>
        <v>3389.87</v>
      </c>
      <c r="M490" s="201">
        <f>M491</f>
        <v>3389.87</v>
      </c>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row>
    <row r="491" spans="1:60" ht="99" customHeight="1">
      <c r="A491" s="4"/>
      <c r="B491" s="156" t="s">
        <v>767</v>
      </c>
      <c r="C491" s="4" t="s">
        <v>867</v>
      </c>
      <c r="D491" s="4" t="s">
        <v>49</v>
      </c>
      <c r="E491" s="120" t="s">
        <v>557</v>
      </c>
      <c r="F491" s="4" t="s">
        <v>48</v>
      </c>
      <c r="G491" s="34" t="s">
        <v>768</v>
      </c>
      <c r="H491" s="120" t="s">
        <v>658</v>
      </c>
      <c r="I491" s="120" t="s">
        <v>659</v>
      </c>
      <c r="J491" s="202">
        <f>3389.87-1500</f>
        <v>1889.87</v>
      </c>
      <c r="K491" s="202">
        <f>3389.87-1500</f>
        <v>1889.87</v>
      </c>
      <c r="L491" s="202">
        <v>3389.87</v>
      </c>
      <c r="M491" s="202">
        <v>3389.87</v>
      </c>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row>
    <row r="492" spans="1:60" ht="35.25" customHeight="1">
      <c r="A492" s="4"/>
      <c r="B492" s="11" t="s">
        <v>802</v>
      </c>
      <c r="C492" s="4"/>
      <c r="D492" s="4"/>
      <c r="E492" s="120" t="s">
        <v>440</v>
      </c>
      <c r="F492" s="4"/>
      <c r="G492" s="34"/>
      <c r="H492" s="120"/>
      <c r="I492" s="120"/>
      <c r="J492" s="201">
        <f>J493</f>
        <v>69.4</v>
      </c>
      <c r="K492" s="201">
        <f>K493</f>
        <v>69.4</v>
      </c>
      <c r="L492" s="201">
        <f>L493</f>
        <v>0</v>
      </c>
      <c r="M492" s="201">
        <f>M493</f>
        <v>0</v>
      </c>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row>
    <row r="493" spans="1:60" ht="59.25" customHeight="1">
      <c r="A493" s="4"/>
      <c r="B493" s="16" t="s">
        <v>806</v>
      </c>
      <c r="C493" s="4" t="s">
        <v>867</v>
      </c>
      <c r="D493" s="4" t="s">
        <v>433</v>
      </c>
      <c r="E493" s="161" t="s">
        <v>807</v>
      </c>
      <c r="F493" s="4" t="s">
        <v>44</v>
      </c>
      <c r="G493" s="34" t="s">
        <v>808</v>
      </c>
      <c r="H493" s="120" t="s">
        <v>383</v>
      </c>
      <c r="I493" s="120" t="s">
        <v>809</v>
      </c>
      <c r="J493" s="202">
        <v>69.4</v>
      </c>
      <c r="K493" s="202">
        <v>69.4</v>
      </c>
      <c r="L493" s="202">
        <v>0</v>
      </c>
      <c r="M493" s="202">
        <v>0</v>
      </c>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row>
    <row r="494" spans="1:60" ht="45" customHeight="1">
      <c r="A494" s="4"/>
      <c r="B494" s="15" t="s">
        <v>413</v>
      </c>
      <c r="C494" s="4"/>
      <c r="D494" s="4"/>
      <c r="E494" s="161" t="s">
        <v>78</v>
      </c>
      <c r="F494" s="120"/>
      <c r="G494" s="171"/>
      <c r="H494" s="7"/>
      <c r="I494" s="7"/>
      <c r="J494" s="201">
        <f>J495+J496+J497</f>
        <v>2704.13</v>
      </c>
      <c r="K494" s="201">
        <f>K495+K496+K497</f>
        <v>2704.13</v>
      </c>
      <c r="L494" s="201">
        <f>L495+L496+L497</f>
        <v>2773.5299999999997</v>
      </c>
      <c r="M494" s="201">
        <f>M495+M496+M497</f>
        <v>2773.5299999999997</v>
      </c>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row>
    <row r="495" spans="1:60" ht="32.25" customHeight="1">
      <c r="A495" s="278"/>
      <c r="B495" s="374" t="s">
        <v>767</v>
      </c>
      <c r="C495" s="4" t="s">
        <v>867</v>
      </c>
      <c r="D495" s="4" t="s">
        <v>49</v>
      </c>
      <c r="E495" s="120" t="s">
        <v>558</v>
      </c>
      <c r="F495" s="120" t="s">
        <v>44</v>
      </c>
      <c r="G495" s="274" t="s">
        <v>768</v>
      </c>
      <c r="H495" s="280" t="s">
        <v>658</v>
      </c>
      <c r="I495" s="280" t="s">
        <v>659</v>
      </c>
      <c r="J495" s="202">
        <f>1123.53-69.4</f>
        <v>1054.1299999999999</v>
      </c>
      <c r="K495" s="202">
        <f>1123.53-69.4</f>
        <v>1054.1299999999999</v>
      </c>
      <c r="L495" s="202">
        <v>1123.53</v>
      </c>
      <c r="M495" s="202">
        <v>1123.53</v>
      </c>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row>
    <row r="496" spans="1:60" ht="32.25" customHeight="1">
      <c r="A496" s="287"/>
      <c r="B496" s="375"/>
      <c r="C496" s="4" t="s">
        <v>867</v>
      </c>
      <c r="D496" s="4" t="s">
        <v>49</v>
      </c>
      <c r="E496" s="120" t="s">
        <v>558</v>
      </c>
      <c r="F496" s="120" t="s">
        <v>325</v>
      </c>
      <c r="G496" s="289"/>
      <c r="H496" s="290"/>
      <c r="I496" s="290"/>
      <c r="J496" s="202">
        <v>400</v>
      </c>
      <c r="K496" s="202">
        <v>400</v>
      </c>
      <c r="L496" s="202">
        <v>400</v>
      </c>
      <c r="M496" s="202">
        <v>400</v>
      </c>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row>
    <row r="497" spans="1:60" ht="32.25" customHeight="1">
      <c r="A497" s="279"/>
      <c r="B497" s="376"/>
      <c r="C497" s="4" t="s">
        <v>867</v>
      </c>
      <c r="D497" s="4" t="s">
        <v>49</v>
      </c>
      <c r="E497" s="120" t="s">
        <v>558</v>
      </c>
      <c r="F497" s="120" t="s">
        <v>46</v>
      </c>
      <c r="G497" s="275"/>
      <c r="H497" s="281"/>
      <c r="I497" s="281"/>
      <c r="J497" s="202">
        <v>1250</v>
      </c>
      <c r="K497" s="202">
        <v>1250</v>
      </c>
      <c r="L497" s="202">
        <v>1250</v>
      </c>
      <c r="M497" s="202">
        <v>1250</v>
      </c>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row>
    <row r="498" spans="1:60" ht="195" customHeight="1">
      <c r="A498" s="90" t="s">
        <v>489</v>
      </c>
      <c r="B498" s="100" t="s">
        <v>491</v>
      </c>
      <c r="C498" s="90"/>
      <c r="D498" s="90"/>
      <c r="E498" s="90"/>
      <c r="F498" s="90"/>
      <c r="G498" s="90"/>
      <c r="H498" s="90"/>
      <c r="I498" s="90"/>
      <c r="J498" s="200">
        <f aca="true" t="shared" si="16" ref="J498:M499">J499</f>
        <v>769.6</v>
      </c>
      <c r="K498" s="200">
        <f t="shared" si="16"/>
        <v>769.6</v>
      </c>
      <c r="L498" s="200">
        <f t="shared" si="16"/>
        <v>769.6</v>
      </c>
      <c r="M498" s="200">
        <f t="shared" si="16"/>
        <v>769.6</v>
      </c>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row>
    <row r="499" spans="1:60" ht="48" customHeight="1">
      <c r="A499" s="4"/>
      <c r="B499" s="11" t="s">
        <v>293</v>
      </c>
      <c r="C499" s="4"/>
      <c r="D499" s="4"/>
      <c r="E499" s="4" t="s">
        <v>64</v>
      </c>
      <c r="F499" s="4"/>
      <c r="G499" s="4"/>
      <c r="H499" s="4"/>
      <c r="I499" s="4"/>
      <c r="J499" s="201">
        <f t="shared" si="16"/>
        <v>769.6</v>
      </c>
      <c r="K499" s="201">
        <f t="shared" si="16"/>
        <v>769.6</v>
      </c>
      <c r="L499" s="201">
        <f t="shared" si="16"/>
        <v>769.6</v>
      </c>
      <c r="M499" s="201">
        <f t="shared" si="16"/>
        <v>769.6</v>
      </c>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row>
    <row r="500" spans="1:60" ht="115.5" customHeight="1">
      <c r="A500" s="28"/>
      <c r="B500" s="10" t="s">
        <v>490</v>
      </c>
      <c r="C500" s="34" t="s">
        <v>863</v>
      </c>
      <c r="D500" s="4" t="s">
        <v>47</v>
      </c>
      <c r="E500" s="4" t="s">
        <v>492</v>
      </c>
      <c r="F500" s="4" t="s">
        <v>44</v>
      </c>
      <c r="G500" s="152" t="s">
        <v>756</v>
      </c>
      <c r="H500" s="4" t="s">
        <v>383</v>
      </c>
      <c r="I500" s="119" t="s">
        <v>494</v>
      </c>
      <c r="J500" s="201">
        <v>769.6</v>
      </c>
      <c r="K500" s="201">
        <v>769.6</v>
      </c>
      <c r="L500" s="201">
        <v>769.6</v>
      </c>
      <c r="M500" s="201">
        <v>769.6</v>
      </c>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row>
    <row r="501" spans="1:60" ht="45" customHeight="1">
      <c r="A501" s="90" t="s">
        <v>476</v>
      </c>
      <c r="B501" s="100" t="s">
        <v>477</v>
      </c>
      <c r="C501" s="90"/>
      <c r="D501" s="90"/>
      <c r="E501" s="90"/>
      <c r="F501" s="90"/>
      <c r="G501" s="90"/>
      <c r="H501" s="90"/>
      <c r="I501" s="90"/>
      <c r="J501" s="200">
        <f aca="true" t="shared" si="17" ref="J501:M502">J502</f>
        <v>13.7</v>
      </c>
      <c r="K501" s="200">
        <f t="shared" si="17"/>
        <v>13.7</v>
      </c>
      <c r="L501" s="200">
        <f t="shared" si="17"/>
        <v>13.7</v>
      </c>
      <c r="M501" s="200">
        <f t="shared" si="17"/>
        <v>13.7</v>
      </c>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row>
    <row r="502" spans="1:60" ht="48" customHeight="1">
      <c r="A502" s="4"/>
      <c r="B502" s="16" t="s">
        <v>754</v>
      </c>
      <c r="C502" s="34"/>
      <c r="D502" s="4"/>
      <c r="E502" s="4" t="s">
        <v>440</v>
      </c>
      <c r="F502" s="4"/>
      <c r="G502" s="147"/>
      <c r="H502" s="7"/>
      <c r="I502" s="157"/>
      <c r="J502" s="201">
        <f t="shared" si="17"/>
        <v>13.7</v>
      </c>
      <c r="K502" s="201">
        <f t="shared" si="17"/>
        <v>13.7</v>
      </c>
      <c r="L502" s="201">
        <f t="shared" si="17"/>
        <v>13.7</v>
      </c>
      <c r="M502" s="201">
        <f t="shared" si="17"/>
        <v>13.7</v>
      </c>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row>
    <row r="503" spans="1:60" ht="210" customHeight="1">
      <c r="A503" s="4"/>
      <c r="B503" s="16" t="s">
        <v>478</v>
      </c>
      <c r="C503" s="6" t="s">
        <v>829</v>
      </c>
      <c r="D503" s="4" t="s">
        <v>10</v>
      </c>
      <c r="E503" s="4" t="s">
        <v>479</v>
      </c>
      <c r="F503" s="4" t="s">
        <v>44</v>
      </c>
      <c r="G503" s="147" t="s">
        <v>769</v>
      </c>
      <c r="H503" s="6" t="s">
        <v>480</v>
      </c>
      <c r="I503" s="113" t="s">
        <v>481</v>
      </c>
      <c r="J503" s="201">
        <v>13.7</v>
      </c>
      <c r="K503" s="201">
        <v>13.7</v>
      </c>
      <c r="L503" s="201">
        <v>13.7</v>
      </c>
      <c r="M503" s="201">
        <v>13.7</v>
      </c>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row>
    <row r="504" spans="1:60" ht="90" customHeight="1">
      <c r="A504" s="90" t="s">
        <v>470</v>
      </c>
      <c r="B504" s="100" t="s">
        <v>471</v>
      </c>
      <c r="C504" s="90"/>
      <c r="D504" s="90"/>
      <c r="E504" s="90"/>
      <c r="F504" s="90"/>
      <c r="G504" s="90"/>
      <c r="H504" s="90"/>
      <c r="I504" s="90"/>
      <c r="J504" s="200">
        <f>J505</f>
        <v>419.20256</v>
      </c>
      <c r="K504" s="200">
        <f>K505</f>
        <v>344.7</v>
      </c>
      <c r="L504" s="200">
        <f>L505</f>
        <v>344.7</v>
      </c>
      <c r="M504" s="200">
        <f>M505</f>
        <v>344.7</v>
      </c>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row>
    <row r="505" spans="1:60" ht="51" customHeight="1">
      <c r="A505" s="4"/>
      <c r="B505" s="16" t="s">
        <v>754</v>
      </c>
      <c r="C505" s="34"/>
      <c r="D505" s="4"/>
      <c r="E505" s="4" t="s">
        <v>440</v>
      </c>
      <c r="F505" s="4"/>
      <c r="G505" s="222"/>
      <c r="H505" s="7"/>
      <c r="I505" s="157"/>
      <c r="J505" s="201">
        <f>J506+J507</f>
        <v>419.20256</v>
      </c>
      <c r="K505" s="201">
        <f>K506+K507</f>
        <v>344.7</v>
      </c>
      <c r="L505" s="201">
        <f>L506+L507</f>
        <v>344.7</v>
      </c>
      <c r="M505" s="201">
        <f>M506+M507</f>
        <v>344.7</v>
      </c>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row>
    <row r="506" spans="1:60" ht="95.25" customHeight="1">
      <c r="A506" s="4"/>
      <c r="B506" s="331" t="s">
        <v>472</v>
      </c>
      <c r="C506" s="34" t="s">
        <v>863</v>
      </c>
      <c r="D506" s="4" t="s">
        <v>433</v>
      </c>
      <c r="E506" s="4" t="s">
        <v>473</v>
      </c>
      <c r="F506" s="4" t="s">
        <v>43</v>
      </c>
      <c r="G506" s="296" t="s">
        <v>770</v>
      </c>
      <c r="H506" s="278" t="s">
        <v>474</v>
      </c>
      <c r="I506" s="278" t="s">
        <v>475</v>
      </c>
      <c r="J506" s="201">
        <v>310.3</v>
      </c>
      <c r="K506" s="201">
        <f>310.3-74.50256</f>
        <v>235.79744</v>
      </c>
      <c r="L506" s="201">
        <v>310.3</v>
      </c>
      <c r="M506" s="201">
        <v>310.3</v>
      </c>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row>
    <row r="507" spans="1:60" ht="73.5" customHeight="1">
      <c r="A507" s="4"/>
      <c r="B507" s="338"/>
      <c r="C507" s="34" t="s">
        <v>863</v>
      </c>
      <c r="D507" s="4" t="s">
        <v>433</v>
      </c>
      <c r="E507" s="4" t="s">
        <v>473</v>
      </c>
      <c r="F507" s="4" t="s">
        <v>44</v>
      </c>
      <c r="G507" s="298"/>
      <c r="H507" s="279"/>
      <c r="I507" s="279"/>
      <c r="J507" s="201">
        <f>34.4+74.50256</f>
        <v>108.90256</v>
      </c>
      <c r="K507" s="201">
        <f>34.4+74.50256</f>
        <v>108.90256</v>
      </c>
      <c r="L507" s="201">
        <v>34.4</v>
      </c>
      <c r="M507" s="201">
        <v>34.4</v>
      </c>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row>
    <row r="508" spans="1:60" ht="126" customHeight="1">
      <c r="A508" s="90" t="s">
        <v>881</v>
      </c>
      <c r="B508" s="100" t="s">
        <v>882</v>
      </c>
      <c r="C508" s="90"/>
      <c r="D508" s="90"/>
      <c r="E508" s="90"/>
      <c r="F508" s="90"/>
      <c r="G508" s="90"/>
      <c r="H508" s="90"/>
      <c r="I508" s="90"/>
      <c r="J508" s="200">
        <f aca="true" t="shared" si="18" ref="J508:M509">J509</f>
        <v>17925.56</v>
      </c>
      <c r="K508" s="200">
        <f t="shared" si="18"/>
        <v>17925.56</v>
      </c>
      <c r="L508" s="200">
        <f t="shared" si="18"/>
        <v>14921.453</v>
      </c>
      <c r="M508" s="200">
        <f t="shared" si="18"/>
        <v>14382.342</v>
      </c>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row>
    <row r="509" spans="1:60" ht="39.75" customHeight="1">
      <c r="A509" s="4"/>
      <c r="B509" s="16" t="s">
        <v>311</v>
      </c>
      <c r="C509" s="4"/>
      <c r="D509" s="4"/>
      <c r="E509" s="4" t="s">
        <v>73</v>
      </c>
      <c r="F509" s="4"/>
      <c r="G509" s="4"/>
      <c r="H509" s="4"/>
      <c r="I509" s="4"/>
      <c r="J509" s="201">
        <f t="shared" si="18"/>
        <v>17925.56</v>
      </c>
      <c r="K509" s="201">
        <f t="shared" si="18"/>
        <v>17925.56</v>
      </c>
      <c r="L509" s="201">
        <f t="shared" si="18"/>
        <v>14921.453</v>
      </c>
      <c r="M509" s="201">
        <f t="shared" si="18"/>
        <v>14382.342</v>
      </c>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row>
    <row r="510" spans="1:60" ht="126.75" customHeight="1">
      <c r="A510" s="4"/>
      <c r="B510" s="16" t="s">
        <v>884</v>
      </c>
      <c r="C510" s="4" t="s">
        <v>867</v>
      </c>
      <c r="D510" s="4" t="s">
        <v>12</v>
      </c>
      <c r="E510" s="4" t="s">
        <v>883</v>
      </c>
      <c r="F510" s="4" t="s">
        <v>325</v>
      </c>
      <c r="G510" s="34" t="s">
        <v>885</v>
      </c>
      <c r="H510" s="4" t="s">
        <v>383</v>
      </c>
      <c r="I510" s="4" t="s">
        <v>886</v>
      </c>
      <c r="J510" s="202">
        <f>17635.205+290.355</f>
        <v>17925.56</v>
      </c>
      <c r="K510" s="202">
        <f>17635.205+290.355</f>
        <v>17925.56</v>
      </c>
      <c r="L510" s="202">
        <v>14921.453</v>
      </c>
      <c r="M510" s="202">
        <v>14382.342</v>
      </c>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row>
    <row r="511" spans="1:60" ht="71.25" customHeight="1">
      <c r="A511" s="45" t="s">
        <v>183</v>
      </c>
      <c r="B511" s="46" t="s">
        <v>185</v>
      </c>
      <c r="C511" s="50"/>
      <c r="D511" s="45"/>
      <c r="E511" s="45"/>
      <c r="F511" s="45"/>
      <c r="G511" s="51"/>
      <c r="H511" s="50"/>
      <c r="I511" s="50"/>
      <c r="J511" s="199">
        <f>J512+J519+J517</f>
        <v>351783.146</v>
      </c>
      <c r="K511" s="199">
        <f>K512+K519+K517</f>
        <v>351783.146</v>
      </c>
      <c r="L511" s="199">
        <f>L512+L519+L517</f>
        <v>357451.9</v>
      </c>
      <c r="M511" s="199">
        <f>M512+M519+M517</f>
        <v>359106.9</v>
      </c>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row>
    <row r="512" spans="1:60" ht="255" customHeight="1">
      <c r="A512" s="90" t="s">
        <v>184</v>
      </c>
      <c r="B512" s="100" t="s">
        <v>186</v>
      </c>
      <c r="C512" s="90"/>
      <c r="D512" s="90"/>
      <c r="E512" s="90"/>
      <c r="F512" s="90"/>
      <c r="G512" s="90"/>
      <c r="H512" s="90"/>
      <c r="I512" s="90"/>
      <c r="J512" s="200">
        <f>J513</f>
        <v>197933.70500000002</v>
      </c>
      <c r="K512" s="200">
        <f>K513</f>
        <v>197933.70500000002</v>
      </c>
      <c r="L512" s="200">
        <f>L513</f>
        <v>207870.4</v>
      </c>
      <c r="M512" s="200">
        <f>M513</f>
        <v>211389.30000000002</v>
      </c>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row>
    <row r="513" spans="1:60" ht="30" customHeight="1">
      <c r="A513" s="120"/>
      <c r="B513" s="16" t="s">
        <v>337</v>
      </c>
      <c r="C513" s="120"/>
      <c r="D513" s="120"/>
      <c r="E513" s="120" t="s">
        <v>572</v>
      </c>
      <c r="F513" s="120"/>
      <c r="G513" s="120"/>
      <c r="H513" s="120"/>
      <c r="I513" s="120"/>
      <c r="J513" s="202">
        <f>J515+J514+J516</f>
        <v>197933.70500000002</v>
      </c>
      <c r="K513" s="202">
        <f>K515+K514+K516</f>
        <v>197933.70500000002</v>
      </c>
      <c r="L513" s="202">
        <f>L515+L514+L516</f>
        <v>207870.4</v>
      </c>
      <c r="M513" s="202">
        <f>M515+M514+M516</f>
        <v>211389.30000000002</v>
      </c>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row>
    <row r="514" spans="1:60" ht="83.25" customHeight="1">
      <c r="A514" s="120"/>
      <c r="B514" s="374" t="s">
        <v>552</v>
      </c>
      <c r="C514" s="120" t="s">
        <v>859</v>
      </c>
      <c r="D514" s="120" t="s">
        <v>83</v>
      </c>
      <c r="E514" s="120" t="s">
        <v>553</v>
      </c>
      <c r="F514" s="120" t="s">
        <v>230</v>
      </c>
      <c r="G514" s="274" t="s">
        <v>761</v>
      </c>
      <c r="H514" s="280" t="s">
        <v>654</v>
      </c>
      <c r="I514" s="280" t="s">
        <v>655</v>
      </c>
      <c r="J514" s="202">
        <f>2743.88+701.99</f>
        <v>3445.87</v>
      </c>
      <c r="K514" s="202">
        <f>2743.88+701.99</f>
        <v>3445.87</v>
      </c>
      <c r="L514" s="202">
        <v>0</v>
      </c>
      <c r="M514" s="202">
        <v>0</v>
      </c>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row>
    <row r="515" spans="1:60" ht="165.75" customHeight="1">
      <c r="A515" s="120"/>
      <c r="B515" s="333"/>
      <c r="C515" s="120" t="s">
        <v>867</v>
      </c>
      <c r="D515" s="120" t="s">
        <v>83</v>
      </c>
      <c r="E515" s="271" t="s">
        <v>553</v>
      </c>
      <c r="F515" s="120" t="s">
        <v>48</v>
      </c>
      <c r="G515" s="289"/>
      <c r="H515" s="290"/>
      <c r="I515" s="290"/>
      <c r="J515" s="202">
        <v>188229.135</v>
      </c>
      <c r="K515" s="202">
        <v>188229.135</v>
      </c>
      <c r="L515" s="202">
        <v>189902.8</v>
      </c>
      <c r="M515" s="202">
        <v>193421.7</v>
      </c>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row>
    <row r="516" spans="1:60" ht="56.25" customHeight="1">
      <c r="A516" s="120"/>
      <c r="B516" s="156" t="s">
        <v>1006</v>
      </c>
      <c r="C516" s="120" t="s">
        <v>867</v>
      </c>
      <c r="D516" s="120" t="s">
        <v>83</v>
      </c>
      <c r="E516" s="161" t="s">
        <v>1007</v>
      </c>
      <c r="F516" s="120" t="s">
        <v>48</v>
      </c>
      <c r="G516" s="275"/>
      <c r="H516" s="281"/>
      <c r="I516" s="281"/>
      <c r="J516" s="202">
        <v>6258.7</v>
      </c>
      <c r="K516" s="202">
        <v>6258.7</v>
      </c>
      <c r="L516" s="202">
        <v>17967.6</v>
      </c>
      <c r="M516" s="202">
        <v>17967.6</v>
      </c>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row>
    <row r="517" spans="1:60" ht="274.5" customHeight="1">
      <c r="A517" s="90" t="s">
        <v>861</v>
      </c>
      <c r="B517" s="100" t="s">
        <v>874</v>
      </c>
      <c r="C517" s="90"/>
      <c r="D517" s="90"/>
      <c r="E517" s="90"/>
      <c r="F517" s="90"/>
      <c r="G517" s="90"/>
      <c r="H517" s="90"/>
      <c r="I517" s="90"/>
      <c r="J517" s="200">
        <f>J518</f>
        <v>0</v>
      </c>
      <c r="K517" s="200">
        <f>K518</f>
        <v>0</v>
      </c>
      <c r="L517" s="200">
        <f>L518</f>
        <v>0</v>
      </c>
      <c r="M517" s="200">
        <f>M518</f>
        <v>0</v>
      </c>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row>
    <row r="518" spans="1:60" ht="120" customHeight="1">
      <c r="A518" s="3"/>
      <c r="B518" s="122" t="s">
        <v>552</v>
      </c>
      <c r="C518" s="120" t="s">
        <v>859</v>
      </c>
      <c r="D518" s="120" t="s">
        <v>83</v>
      </c>
      <c r="E518" s="120" t="s">
        <v>553</v>
      </c>
      <c r="F518" s="120" t="s">
        <v>230</v>
      </c>
      <c r="G518" s="265" t="s">
        <v>897</v>
      </c>
      <c r="H518" s="262" t="s">
        <v>654</v>
      </c>
      <c r="I518" s="262" t="s">
        <v>655</v>
      </c>
      <c r="J518" s="202">
        <v>0</v>
      </c>
      <c r="K518" s="202">
        <v>0</v>
      </c>
      <c r="L518" s="201">
        <v>0</v>
      </c>
      <c r="M518" s="201">
        <v>0</v>
      </c>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row>
    <row r="519" spans="1:60" ht="255" customHeight="1">
      <c r="A519" s="90" t="s">
        <v>554</v>
      </c>
      <c r="B519" s="100" t="s">
        <v>771</v>
      </c>
      <c r="C519" s="90"/>
      <c r="D519" s="90"/>
      <c r="E519" s="90"/>
      <c r="F519" s="90"/>
      <c r="G519" s="90"/>
      <c r="H519" s="90"/>
      <c r="I519" s="90"/>
      <c r="J519" s="200">
        <f>J520</f>
        <v>153849.441</v>
      </c>
      <c r="K519" s="200">
        <f>K520</f>
        <v>153849.441</v>
      </c>
      <c r="L519" s="200">
        <f>L520</f>
        <v>149581.5</v>
      </c>
      <c r="M519" s="200">
        <f>M520</f>
        <v>147717.6</v>
      </c>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row>
    <row r="520" spans="1:60" ht="30" customHeight="1">
      <c r="A520" s="120"/>
      <c r="B520" s="16" t="s">
        <v>337</v>
      </c>
      <c r="C520" s="169"/>
      <c r="D520" s="169"/>
      <c r="E520" s="169" t="s">
        <v>84</v>
      </c>
      <c r="F520" s="120"/>
      <c r="G520" s="120"/>
      <c r="H520" s="120"/>
      <c r="I520" s="120"/>
      <c r="J520" s="202">
        <f>J522+J523+J524+J521</f>
        <v>153849.441</v>
      </c>
      <c r="K520" s="202">
        <f>K522+K523+K524+K521</f>
        <v>153849.441</v>
      </c>
      <c r="L520" s="202">
        <f>L522+L523+L524</f>
        <v>149581.5</v>
      </c>
      <c r="M520" s="202">
        <f>M522+M523+M524</f>
        <v>147717.6</v>
      </c>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row>
    <row r="521" spans="1:60" ht="56.25" customHeight="1">
      <c r="A521" s="280"/>
      <c r="B521" s="374" t="s">
        <v>552</v>
      </c>
      <c r="C521" s="214" t="s">
        <v>859</v>
      </c>
      <c r="D521" s="214" t="s">
        <v>85</v>
      </c>
      <c r="E521" s="175" t="s">
        <v>553</v>
      </c>
      <c r="F521" s="120" t="s">
        <v>230</v>
      </c>
      <c r="G521" s="274" t="s">
        <v>761</v>
      </c>
      <c r="H521" s="280" t="s">
        <v>654</v>
      </c>
      <c r="I521" s="280" t="s">
        <v>655</v>
      </c>
      <c r="J521" s="202">
        <v>1940.31</v>
      </c>
      <c r="K521" s="202">
        <v>1940.31</v>
      </c>
      <c r="L521" s="202">
        <v>0</v>
      </c>
      <c r="M521" s="202">
        <v>0</v>
      </c>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row>
    <row r="522" spans="1:60" ht="71.25" customHeight="1">
      <c r="A522" s="290"/>
      <c r="B522" s="382"/>
      <c r="C522" s="120" t="s">
        <v>867</v>
      </c>
      <c r="D522" s="169" t="s">
        <v>85</v>
      </c>
      <c r="E522" s="175" t="s">
        <v>553</v>
      </c>
      <c r="F522" s="120" t="s">
        <v>48</v>
      </c>
      <c r="G522" s="294"/>
      <c r="H522" s="294"/>
      <c r="I522" s="294"/>
      <c r="J522" s="202">
        <f>87565.586+7206.5845-1193.38+1395.8785</f>
        <v>94974.669</v>
      </c>
      <c r="K522" s="202">
        <f>87565.586+7206.5845-1193.38+1395.8785</f>
        <v>94974.669</v>
      </c>
      <c r="L522" s="202">
        <f>148520.4-57406.841</f>
        <v>91113.559</v>
      </c>
      <c r="M522" s="202">
        <f>146656.5-56597.703</f>
        <v>90058.79699999999</v>
      </c>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row>
    <row r="523" spans="1:60" ht="56.25" customHeight="1">
      <c r="A523" s="290"/>
      <c r="B523" s="382"/>
      <c r="C523" s="120" t="s">
        <v>867</v>
      </c>
      <c r="D523" s="169" t="s">
        <v>85</v>
      </c>
      <c r="E523" s="175" t="s">
        <v>553</v>
      </c>
      <c r="F523" s="120" t="s">
        <v>340</v>
      </c>
      <c r="G523" s="294"/>
      <c r="H523" s="294"/>
      <c r="I523" s="294"/>
      <c r="J523" s="202">
        <f>53961.514+4915.684-746.93-2255.503+21.197</f>
        <v>55895.96200000001</v>
      </c>
      <c r="K523" s="202">
        <f>53961.514+4915.684-746.93-2255.503+21.197</f>
        <v>55895.96200000001</v>
      </c>
      <c r="L523" s="202">
        <f>57406.841-21.197+21.197</f>
        <v>57406.841</v>
      </c>
      <c r="M523" s="202">
        <f>56597.703-21.197+21.197</f>
        <v>56597.703</v>
      </c>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row>
    <row r="524" spans="1:60" ht="77.25" customHeight="1">
      <c r="A524" s="281"/>
      <c r="B524" s="333"/>
      <c r="C524" s="120" t="s">
        <v>867</v>
      </c>
      <c r="D524" s="169" t="s">
        <v>85</v>
      </c>
      <c r="E524" s="175" t="s">
        <v>553</v>
      </c>
      <c r="F524" s="120" t="s">
        <v>46</v>
      </c>
      <c r="G524" s="286"/>
      <c r="H524" s="286"/>
      <c r="I524" s="286"/>
      <c r="J524" s="202">
        <f>1061.1-22.6</f>
        <v>1038.5</v>
      </c>
      <c r="K524" s="202">
        <f>1061.1-22.6</f>
        <v>1038.5</v>
      </c>
      <c r="L524" s="202">
        <v>1061.1</v>
      </c>
      <c r="M524" s="202">
        <v>1061.1</v>
      </c>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row>
    <row r="525" spans="1:60" ht="42.75" customHeight="1">
      <c r="A525" s="45" t="s">
        <v>188</v>
      </c>
      <c r="B525" s="116" t="s">
        <v>187</v>
      </c>
      <c r="C525" s="45"/>
      <c r="D525" s="45"/>
      <c r="E525" s="45"/>
      <c r="F525" s="45"/>
      <c r="G525" s="45"/>
      <c r="H525" s="45"/>
      <c r="I525" s="45"/>
      <c r="J525" s="199">
        <v>0</v>
      </c>
      <c r="K525" s="199">
        <v>0</v>
      </c>
      <c r="L525" s="199">
        <f>13466-496.19-184.48521+0.0223-1800</f>
        <v>10985.34709</v>
      </c>
      <c r="M525" s="199">
        <f>22324.6-511.27-0.02319</f>
        <v>21813.30681</v>
      </c>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row>
    <row r="526" spans="11:60" ht="15">
      <c r="K526" s="9"/>
      <c r="L526" s="9"/>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row>
    <row r="527" spans="2:60" ht="15.75">
      <c r="B527" s="173" t="s">
        <v>1</v>
      </c>
      <c r="C527" s="40"/>
      <c r="D527" s="41"/>
      <c r="G527" s="43" t="s">
        <v>4</v>
      </c>
      <c r="K527" s="9"/>
      <c r="L527" s="9"/>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row>
    <row r="528" spans="3:60" ht="15">
      <c r="C528" s="368" t="s">
        <v>2</v>
      </c>
      <c r="D528" s="368"/>
      <c r="G528" s="44" t="s">
        <v>3</v>
      </c>
      <c r="K528" s="9"/>
      <c r="L528" s="9"/>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row>
    <row r="529" spans="11:60" ht="15">
      <c r="K529" s="9"/>
      <c r="L529" s="9"/>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row>
    <row r="530" spans="3:60" ht="15">
      <c r="C530" s="42"/>
      <c r="D530" s="42"/>
      <c r="K530" s="9"/>
      <c r="L530" s="9"/>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row>
    <row r="531" spans="1:60" ht="15.75" customHeight="1">
      <c r="A531" s="12"/>
      <c r="B531" s="367" t="s">
        <v>130</v>
      </c>
      <c r="C531" s="367"/>
      <c r="D531" s="367"/>
      <c r="K531" s="9"/>
      <c r="L531" s="9"/>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row>
    <row r="532" spans="11:60" ht="15">
      <c r="K532" s="9"/>
      <c r="L532" s="9"/>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row>
    <row r="533" spans="11:60" ht="15">
      <c r="K533" s="9"/>
      <c r="L533" s="9"/>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row>
    <row r="534" spans="11:60" ht="15">
      <c r="K534" s="9"/>
      <c r="L534" s="9"/>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row>
    <row r="535" spans="11:60" ht="15">
      <c r="K535" s="9"/>
      <c r="L535" s="9"/>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row>
    <row r="536" spans="11:60" ht="15">
      <c r="K536" s="9"/>
      <c r="L536" s="9"/>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row>
    <row r="537" spans="11:60" ht="15">
      <c r="K537" s="9"/>
      <c r="L537" s="9"/>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row>
    <row r="538" spans="11:60" ht="15">
      <c r="K538" s="9"/>
      <c r="L538" s="9"/>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row>
    <row r="539" spans="11:60" ht="15">
      <c r="K539" s="9"/>
      <c r="L539" s="9"/>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row>
    <row r="540" spans="11:60" ht="15">
      <c r="K540" s="9"/>
      <c r="L540" s="9"/>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row>
    <row r="541" spans="11:60" ht="15">
      <c r="K541" s="9"/>
      <c r="L541" s="9"/>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row>
    <row r="542" spans="11:60" ht="15">
      <c r="K542" s="9"/>
      <c r="L542" s="9"/>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row>
    <row r="543" spans="11:60" ht="15">
      <c r="K543" s="9"/>
      <c r="L543" s="9"/>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row>
    <row r="544" spans="11:60" ht="15">
      <c r="K544" s="9"/>
      <c r="L544" s="9"/>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row>
    <row r="545" spans="11:60" ht="15">
      <c r="K545" s="9"/>
      <c r="L545" s="9"/>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row>
    <row r="546" spans="1:60" ht="15">
      <c r="A546" s="12"/>
      <c r="B546" s="12"/>
      <c r="C546" s="12"/>
      <c r="D546" s="12"/>
      <c r="E546" s="12"/>
      <c r="F546" s="12"/>
      <c r="G546" s="12"/>
      <c r="H546" s="12"/>
      <c r="I546" s="12"/>
      <c r="J546" s="12"/>
      <c r="K546" s="9"/>
      <c r="L546" s="9"/>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row>
    <row r="547" spans="1:60" ht="15">
      <c r="A547" s="12"/>
      <c r="B547" s="12"/>
      <c r="C547" s="12"/>
      <c r="D547" s="12"/>
      <c r="E547" s="12"/>
      <c r="F547" s="12"/>
      <c r="G547" s="12"/>
      <c r="H547" s="12"/>
      <c r="I547" s="12"/>
      <c r="J547" s="12"/>
      <c r="K547" s="9"/>
      <c r="L547" s="9"/>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row>
    <row r="548" spans="1:60" ht="15">
      <c r="A548" s="12"/>
      <c r="B548" s="12"/>
      <c r="C548" s="12"/>
      <c r="D548" s="12"/>
      <c r="E548" s="12"/>
      <c r="F548" s="12"/>
      <c r="G548" s="12"/>
      <c r="H548" s="12"/>
      <c r="I548" s="12"/>
      <c r="J548" s="12"/>
      <c r="K548" s="9"/>
      <c r="L548" s="9"/>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row>
    <row r="549" spans="1:60" ht="15">
      <c r="A549" s="12"/>
      <c r="B549" s="12"/>
      <c r="C549" s="12"/>
      <c r="D549" s="12"/>
      <c r="E549" s="12"/>
      <c r="F549" s="12"/>
      <c r="G549" s="12"/>
      <c r="H549" s="12"/>
      <c r="I549" s="12"/>
      <c r="J549" s="12"/>
      <c r="K549" s="9"/>
      <c r="L549" s="9"/>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row>
    <row r="550" spans="1:60" ht="15">
      <c r="A550" s="12"/>
      <c r="B550" s="12"/>
      <c r="C550" s="12"/>
      <c r="D550" s="12"/>
      <c r="E550" s="12"/>
      <c r="F550" s="12"/>
      <c r="G550" s="12"/>
      <c r="H550" s="12"/>
      <c r="I550" s="12"/>
      <c r="J550" s="12"/>
      <c r="K550" s="9"/>
      <c r="L550" s="9"/>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row>
    <row r="551" spans="1:60" ht="15">
      <c r="A551" s="12"/>
      <c r="B551" s="12"/>
      <c r="C551" s="12"/>
      <c r="D551" s="12"/>
      <c r="E551" s="12"/>
      <c r="F551" s="12"/>
      <c r="G551" s="12"/>
      <c r="H551" s="12"/>
      <c r="I551" s="12"/>
      <c r="J551" s="12"/>
      <c r="K551" s="9"/>
      <c r="L551" s="9"/>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row>
    <row r="552" spans="1:60" ht="15">
      <c r="A552" s="12"/>
      <c r="B552" s="12"/>
      <c r="C552" s="12"/>
      <c r="D552" s="12"/>
      <c r="E552" s="12"/>
      <c r="F552" s="12"/>
      <c r="G552" s="12"/>
      <c r="H552" s="12"/>
      <c r="I552" s="12"/>
      <c r="J552" s="12"/>
      <c r="K552" s="9"/>
      <c r="L552" s="9"/>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row>
    <row r="553" spans="1:60" ht="15">
      <c r="A553" s="12"/>
      <c r="B553" s="12"/>
      <c r="C553" s="12"/>
      <c r="D553" s="12"/>
      <c r="E553" s="12"/>
      <c r="F553" s="12"/>
      <c r="G553" s="12"/>
      <c r="H553" s="12"/>
      <c r="I553" s="12"/>
      <c r="J553" s="12"/>
      <c r="K553" s="9"/>
      <c r="L553" s="9"/>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row>
    <row r="554" spans="1:60" ht="15">
      <c r="A554" s="12"/>
      <c r="B554" s="12"/>
      <c r="C554" s="12"/>
      <c r="D554" s="12"/>
      <c r="E554" s="12"/>
      <c r="F554" s="12"/>
      <c r="G554" s="12"/>
      <c r="H554" s="12"/>
      <c r="I554" s="12"/>
      <c r="J554" s="12"/>
      <c r="K554" s="9"/>
      <c r="L554" s="9"/>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row>
    <row r="555" spans="1:60" ht="15">
      <c r="A555" s="12"/>
      <c r="B555" s="12"/>
      <c r="C555" s="12"/>
      <c r="D555" s="12"/>
      <c r="E555" s="12"/>
      <c r="F555" s="12"/>
      <c r="G555" s="12"/>
      <c r="H555" s="12"/>
      <c r="I555" s="12"/>
      <c r="J555" s="12"/>
      <c r="K555" s="9"/>
      <c r="L555" s="9"/>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row>
    <row r="556" spans="1:60" ht="15">
      <c r="A556" s="12"/>
      <c r="B556" s="12"/>
      <c r="C556" s="12"/>
      <c r="D556" s="12"/>
      <c r="E556" s="12"/>
      <c r="F556" s="12"/>
      <c r="G556" s="12"/>
      <c r="H556" s="12"/>
      <c r="I556" s="12"/>
      <c r="J556" s="12"/>
      <c r="K556" s="9"/>
      <c r="L556" s="9"/>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row>
    <row r="557" spans="1:60" ht="15">
      <c r="A557" s="12"/>
      <c r="B557" s="12"/>
      <c r="C557" s="12"/>
      <c r="D557" s="12"/>
      <c r="E557" s="12"/>
      <c r="F557" s="12"/>
      <c r="G557" s="12"/>
      <c r="H557" s="12"/>
      <c r="I557" s="12"/>
      <c r="J557" s="12"/>
      <c r="K557" s="9"/>
      <c r="L557" s="9"/>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row>
    <row r="558" spans="1:60" ht="15">
      <c r="A558" s="12"/>
      <c r="B558" s="12"/>
      <c r="C558" s="12"/>
      <c r="D558" s="12"/>
      <c r="E558" s="12"/>
      <c r="F558" s="12"/>
      <c r="G558" s="12"/>
      <c r="H558" s="12"/>
      <c r="I558" s="12"/>
      <c r="J558" s="12"/>
      <c r="K558" s="9"/>
      <c r="L558" s="9"/>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row>
    <row r="559" spans="1:60" ht="15">
      <c r="A559" s="12"/>
      <c r="B559" s="12"/>
      <c r="C559" s="12"/>
      <c r="D559" s="12"/>
      <c r="E559" s="12"/>
      <c r="F559" s="12"/>
      <c r="G559" s="12"/>
      <c r="H559" s="12"/>
      <c r="I559" s="12"/>
      <c r="J559" s="12"/>
      <c r="K559" s="9"/>
      <c r="L559" s="9"/>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row>
    <row r="560" spans="1:60" ht="15">
      <c r="A560" s="12"/>
      <c r="B560" s="12"/>
      <c r="C560" s="12"/>
      <c r="D560" s="12"/>
      <c r="E560" s="12"/>
      <c r="F560" s="12"/>
      <c r="G560" s="12"/>
      <c r="H560" s="12"/>
      <c r="I560" s="12"/>
      <c r="J560" s="12"/>
      <c r="K560" s="9"/>
      <c r="L560" s="9"/>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row>
    <row r="561" spans="1:60" ht="15">
      <c r="A561" s="12"/>
      <c r="B561" s="12"/>
      <c r="C561" s="12"/>
      <c r="D561" s="12"/>
      <c r="E561" s="12"/>
      <c r="F561" s="12"/>
      <c r="G561" s="12"/>
      <c r="H561" s="12"/>
      <c r="I561" s="12"/>
      <c r="J561" s="12"/>
      <c r="K561" s="9"/>
      <c r="L561" s="9"/>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row>
    <row r="562" spans="11:12" ht="15">
      <c r="K562" s="9"/>
      <c r="L562" s="9"/>
    </row>
    <row r="563" spans="11:12" ht="15">
      <c r="K563" s="9"/>
      <c r="L563" s="9"/>
    </row>
    <row r="564" spans="11:12" ht="15">
      <c r="K564" s="9"/>
      <c r="L564" s="9"/>
    </row>
    <row r="565" spans="11:12" ht="15">
      <c r="K565" s="9"/>
      <c r="L565" s="9"/>
    </row>
    <row r="566" spans="11:12" ht="15">
      <c r="K566" s="9"/>
      <c r="L566" s="9"/>
    </row>
    <row r="567" spans="11:12" ht="15">
      <c r="K567" s="9"/>
      <c r="L567" s="9"/>
    </row>
    <row r="568" spans="11:12" ht="15">
      <c r="K568" s="9"/>
      <c r="L568" s="9"/>
    </row>
    <row r="569" spans="11:12" ht="15">
      <c r="K569" s="9"/>
      <c r="L569" s="9"/>
    </row>
    <row r="570" spans="11:12" ht="15">
      <c r="K570" s="9"/>
      <c r="L570" s="9"/>
    </row>
    <row r="571" spans="11:12" ht="15">
      <c r="K571" s="9"/>
      <c r="L571" s="9"/>
    </row>
    <row r="572" spans="11:12" ht="15">
      <c r="K572" s="9"/>
      <c r="L572" s="9"/>
    </row>
    <row r="573" spans="11:12" ht="15">
      <c r="K573" s="9"/>
      <c r="L573" s="9"/>
    </row>
    <row r="574" spans="11:12" ht="15">
      <c r="K574" s="9"/>
      <c r="L574" s="9"/>
    </row>
    <row r="575" spans="11:12" ht="15">
      <c r="K575" s="9"/>
      <c r="L575" s="9"/>
    </row>
    <row r="576" spans="1:60" s="29" customFormat="1" ht="15">
      <c r="A576" s="20"/>
      <c r="B576" s="21"/>
      <c r="C576" s="20"/>
      <c r="D576" s="22"/>
      <c r="E576" s="22"/>
      <c r="F576" s="22"/>
      <c r="G576" s="23"/>
      <c r="H576" s="20"/>
      <c r="I576" s="20"/>
      <c r="J576" s="9"/>
      <c r="K576" s="9"/>
      <c r="L576" s="9"/>
      <c r="M576" s="179"/>
      <c r="N576" s="79"/>
      <c r="O576" s="79"/>
      <c r="P576" s="79"/>
      <c r="Q576" s="79"/>
      <c r="R576" s="79"/>
      <c r="S576" s="79"/>
      <c r="T576" s="79"/>
      <c r="U576" s="79"/>
      <c r="V576" s="79"/>
      <c r="W576" s="79"/>
      <c r="X576" s="79"/>
      <c r="Y576" s="79"/>
      <c r="Z576" s="79"/>
      <c r="AA576" s="79"/>
      <c r="AB576" s="79"/>
      <c r="AC576" s="79"/>
      <c r="AD576" s="79"/>
      <c r="AE576" s="79"/>
      <c r="AF576" s="79"/>
      <c r="AG576" s="79"/>
      <c r="AH576" s="79"/>
      <c r="AI576" s="79"/>
      <c r="AJ576" s="79"/>
      <c r="AK576" s="79"/>
      <c r="AL576" s="79"/>
      <c r="AM576" s="79"/>
      <c r="AN576" s="79"/>
      <c r="AO576" s="79"/>
      <c r="AP576" s="79"/>
      <c r="AQ576" s="79"/>
      <c r="AR576" s="79"/>
      <c r="AS576" s="79"/>
      <c r="AT576" s="79"/>
      <c r="AU576" s="79"/>
      <c r="AV576" s="79"/>
      <c r="AW576" s="79"/>
      <c r="AX576" s="79"/>
      <c r="AY576" s="79"/>
      <c r="AZ576" s="79"/>
      <c r="BA576" s="79"/>
      <c r="BB576" s="79"/>
      <c r="BC576" s="79"/>
      <c r="BD576" s="79"/>
      <c r="BE576" s="79"/>
      <c r="BF576" s="79"/>
      <c r="BG576" s="79"/>
      <c r="BH576" s="79"/>
    </row>
  </sheetData>
  <sheetProtection/>
  <mergeCells count="391">
    <mergeCell ref="I406:I409"/>
    <mergeCell ref="G27:G28"/>
    <mergeCell ref="H27:H28"/>
    <mergeCell ref="I27:I28"/>
    <mergeCell ref="G44:G46"/>
    <mergeCell ref="H44:H46"/>
    <mergeCell ref="I44:I46"/>
    <mergeCell ref="G55:G57"/>
    <mergeCell ref="H55:H57"/>
    <mergeCell ref="I55:I57"/>
    <mergeCell ref="B99:B100"/>
    <mergeCell ref="B101:B102"/>
    <mergeCell ref="B262:B263"/>
    <mergeCell ref="G80:G81"/>
    <mergeCell ref="B132:B134"/>
    <mergeCell ref="B144:B145"/>
    <mergeCell ref="F232:F233"/>
    <mergeCell ref="B27:B28"/>
    <mergeCell ref="I162:I163"/>
    <mergeCell ref="E78:E79"/>
    <mergeCell ref="B75:B76"/>
    <mergeCell ref="B146:B147"/>
    <mergeCell ref="H80:H81"/>
    <mergeCell ref="I80:I81"/>
    <mergeCell ref="H88:H89"/>
    <mergeCell ref="I156:I157"/>
    <mergeCell ref="B78:B79"/>
    <mergeCell ref="H368:H378"/>
    <mergeCell ref="I368:I378"/>
    <mergeCell ref="I217:I218"/>
    <mergeCell ref="I127:I128"/>
    <mergeCell ref="I266:I267"/>
    <mergeCell ref="G146:G147"/>
    <mergeCell ref="G162:G163"/>
    <mergeCell ref="G156:G157"/>
    <mergeCell ref="G199:G202"/>
    <mergeCell ref="I285:I288"/>
    <mergeCell ref="B416:B420"/>
    <mergeCell ref="B156:B157"/>
    <mergeCell ref="D234:D235"/>
    <mergeCell ref="B313:B314"/>
    <mergeCell ref="B148:B149"/>
    <mergeCell ref="B399:B400"/>
    <mergeCell ref="C416:C417"/>
    <mergeCell ref="B413:B415"/>
    <mergeCell ref="B241:B242"/>
    <mergeCell ref="B325:B327"/>
    <mergeCell ref="G148:G149"/>
    <mergeCell ref="I397:I405"/>
    <mergeCell ref="D416:D417"/>
    <mergeCell ref="H416:H420"/>
    <mergeCell ref="E418:E419"/>
    <mergeCell ref="F416:F417"/>
    <mergeCell ref="E416:E417"/>
    <mergeCell ref="H397:H405"/>
    <mergeCell ref="F406:F409"/>
    <mergeCell ref="G368:G378"/>
    <mergeCell ref="G406:G409"/>
    <mergeCell ref="H148:H149"/>
    <mergeCell ref="G150:G152"/>
    <mergeCell ref="H150:H152"/>
    <mergeCell ref="E234:E235"/>
    <mergeCell ref="H413:H415"/>
    <mergeCell ref="H236:H238"/>
    <mergeCell ref="G217:G218"/>
    <mergeCell ref="H158:H159"/>
    <mergeCell ref="H331:H332"/>
    <mergeCell ref="H199:H202"/>
    <mergeCell ref="G413:G415"/>
    <mergeCell ref="A399:A400"/>
    <mergeCell ref="B406:B409"/>
    <mergeCell ref="H363:H364"/>
    <mergeCell ref="A340:A341"/>
    <mergeCell ref="B338:B339"/>
    <mergeCell ref="B309:B310"/>
    <mergeCell ref="G226:G228"/>
    <mergeCell ref="G301:G305"/>
    <mergeCell ref="B485:B486"/>
    <mergeCell ref="B428:B429"/>
    <mergeCell ref="B506:B507"/>
    <mergeCell ref="H455:H459"/>
    <mergeCell ref="B20:B21"/>
    <mergeCell ref="G20:G21"/>
    <mergeCell ref="H20:H21"/>
    <mergeCell ref="H325:H327"/>
    <mergeCell ref="B234:B235"/>
    <mergeCell ref="C234:C235"/>
    <mergeCell ref="I20:I21"/>
    <mergeCell ref="I33:I38"/>
    <mergeCell ref="I301:I305"/>
    <mergeCell ref="I236:I238"/>
    <mergeCell ref="I160:I161"/>
    <mergeCell ref="I179:I180"/>
    <mergeCell ref="I199:I202"/>
    <mergeCell ref="I245:I246"/>
    <mergeCell ref="I240:I242"/>
    <mergeCell ref="I226:I228"/>
    <mergeCell ref="B521:B524"/>
    <mergeCell ref="G521:G524"/>
    <mergeCell ref="H521:H524"/>
    <mergeCell ref="I521:I524"/>
    <mergeCell ref="B514:B515"/>
    <mergeCell ref="H262:H263"/>
    <mergeCell ref="I363:I364"/>
    <mergeCell ref="D418:D419"/>
    <mergeCell ref="B370:B371"/>
    <mergeCell ref="I272:I274"/>
    <mergeCell ref="L211:L213"/>
    <mergeCell ref="M211:M213"/>
    <mergeCell ref="L232:L233"/>
    <mergeCell ref="I112:I113"/>
    <mergeCell ref="I120:I123"/>
    <mergeCell ref="J211:J213"/>
    <mergeCell ref="J232:J233"/>
    <mergeCell ref="K211:K213"/>
    <mergeCell ref="M234:M235"/>
    <mergeCell ref="L234:L235"/>
    <mergeCell ref="M232:M233"/>
    <mergeCell ref="I260:I261"/>
    <mergeCell ref="I262:I263"/>
    <mergeCell ref="I269:I270"/>
    <mergeCell ref="K234:K235"/>
    <mergeCell ref="K232:K233"/>
    <mergeCell ref="G361:G362"/>
    <mergeCell ref="G343:G344"/>
    <mergeCell ref="H358:H360"/>
    <mergeCell ref="G309:G310"/>
    <mergeCell ref="I340:I341"/>
    <mergeCell ref="I313:I314"/>
    <mergeCell ref="I331:I332"/>
    <mergeCell ref="I358:I360"/>
    <mergeCell ref="I356:I357"/>
    <mergeCell ref="I325:I327"/>
    <mergeCell ref="H226:H228"/>
    <mergeCell ref="A495:A497"/>
    <mergeCell ref="B495:B497"/>
    <mergeCell ref="B477:B482"/>
    <mergeCell ref="A458:A459"/>
    <mergeCell ref="A428:A429"/>
    <mergeCell ref="A466:A469"/>
    <mergeCell ref="B462:B463"/>
    <mergeCell ref="B466:B469"/>
    <mergeCell ref="B464:B465"/>
    <mergeCell ref="B458:B459"/>
    <mergeCell ref="A325:A327"/>
    <mergeCell ref="B273:B274"/>
    <mergeCell ref="B269:B270"/>
    <mergeCell ref="A156:A157"/>
    <mergeCell ref="A162:A163"/>
    <mergeCell ref="A232:A233"/>
    <mergeCell ref="B160:B161"/>
    <mergeCell ref="B179:B180"/>
    <mergeCell ref="A309:A310"/>
    <mergeCell ref="A234:A235"/>
    <mergeCell ref="B232:B233"/>
    <mergeCell ref="C232:C233"/>
    <mergeCell ref="A211:A213"/>
    <mergeCell ref="A217:A218"/>
    <mergeCell ref="A285:A286"/>
    <mergeCell ref="B217:B218"/>
    <mergeCell ref="C211:C213"/>
    <mergeCell ref="A269:A270"/>
    <mergeCell ref="B285:B286"/>
    <mergeCell ref="A33:A35"/>
    <mergeCell ref="B33:B35"/>
    <mergeCell ref="H112:H113"/>
    <mergeCell ref="E53:E54"/>
    <mergeCell ref="F53:F54"/>
    <mergeCell ref="A53:A54"/>
    <mergeCell ref="H64:H79"/>
    <mergeCell ref="B71:B73"/>
    <mergeCell ref="E71:E73"/>
    <mergeCell ref="A75:A76"/>
    <mergeCell ref="H127:H128"/>
    <mergeCell ref="J234:J235"/>
    <mergeCell ref="I158:I159"/>
    <mergeCell ref="G158:G159"/>
    <mergeCell ref="H160:H161"/>
    <mergeCell ref="I141:I143"/>
    <mergeCell ref="H162:H163"/>
    <mergeCell ref="H217:H218"/>
    <mergeCell ref="G153:G154"/>
    <mergeCell ref="H179:H180"/>
    <mergeCell ref="B531:D531"/>
    <mergeCell ref="C528:D528"/>
    <mergeCell ref="B340:B341"/>
    <mergeCell ref="I343:I344"/>
    <mergeCell ref="L418:L419"/>
    <mergeCell ref="C418:C419"/>
    <mergeCell ref="H506:H507"/>
    <mergeCell ref="E402:E405"/>
    <mergeCell ref="J418:J419"/>
    <mergeCell ref="K418:K419"/>
    <mergeCell ref="C10:C12"/>
    <mergeCell ref="E10:E12"/>
    <mergeCell ref="H141:H143"/>
    <mergeCell ref="G160:G161"/>
    <mergeCell ref="G64:G79"/>
    <mergeCell ref="H120:H123"/>
    <mergeCell ref="H156:H157"/>
    <mergeCell ref="H22:H23"/>
    <mergeCell ref="G33:G38"/>
    <mergeCell ref="E75:E76"/>
    <mergeCell ref="A8:M8"/>
    <mergeCell ref="G22:G23"/>
    <mergeCell ref="L11:M11"/>
    <mergeCell ref="G10:I11"/>
    <mergeCell ref="I144:I145"/>
    <mergeCell ref="G127:G128"/>
    <mergeCell ref="I18:I19"/>
    <mergeCell ref="I64:I79"/>
    <mergeCell ref="I41:I42"/>
    <mergeCell ref="H33:H38"/>
    <mergeCell ref="J1:M1"/>
    <mergeCell ref="J2:M2"/>
    <mergeCell ref="J3:M3"/>
    <mergeCell ref="J5:M5"/>
    <mergeCell ref="J4:M4"/>
    <mergeCell ref="J7:M7"/>
    <mergeCell ref="J6:M6"/>
    <mergeCell ref="J11:K11"/>
    <mergeCell ref="A10:B12"/>
    <mergeCell ref="J10:M10"/>
    <mergeCell ref="H48:H54"/>
    <mergeCell ref="I48:I54"/>
    <mergeCell ref="F10:F12"/>
    <mergeCell ref="D10:D12"/>
    <mergeCell ref="H18:H19"/>
    <mergeCell ref="G18:G19"/>
    <mergeCell ref="I22:I23"/>
    <mergeCell ref="M418:M419"/>
    <mergeCell ref="J416:J417"/>
    <mergeCell ref="K416:K417"/>
    <mergeCell ref="L416:L417"/>
    <mergeCell ref="M416:M417"/>
    <mergeCell ref="B53:B54"/>
    <mergeCell ref="H132:H134"/>
    <mergeCell ref="I132:I134"/>
    <mergeCell ref="G141:G143"/>
    <mergeCell ref="B158:B159"/>
    <mergeCell ref="I506:I507"/>
    <mergeCell ref="G272:G274"/>
    <mergeCell ref="G356:G357"/>
    <mergeCell ref="G506:G507"/>
    <mergeCell ref="H428:H429"/>
    <mergeCell ref="H272:H274"/>
    <mergeCell ref="I428:I429"/>
    <mergeCell ref="I462:I463"/>
    <mergeCell ref="G416:G420"/>
    <mergeCell ref="I455:I459"/>
    <mergeCell ref="I464:I465"/>
    <mergeCell ref="G471:G472"/>
    <mergeCell ref="H471:H472"/>
    <mergeCell ref="I471:I472"/>
    <mergeCell ref="I477:I482"/>
    <mergeCell ref="G363:G364"/>
    <mergeCell ref="I466:I469"/>
    <mergeCell ref="H462:H463"/>
    <mergeCell ref="H466:H469"/>
    <mergeCell ref="I416:I420"/>
    <mergeCell ref="G485:G486"/>
    <mergeCell ref="G464:G465"/>
    <mergeCell ref="H464:H465"/>
    <mergeCell ref="H485:H486"/>
    <mergeCell ref="G428:G429"/>
    <mergeCell ref="G331:G332"/>
    <mergeCell ref="G358:G360"/>
    <mergeCell ref="H361:H362"/>
    <mergeCell ref="H340:H341"/>
    <mergeCell ref="H356:H357"/>
    <mergeCell ref="B363:B364"/>
    <mergeCell ref="B358:B360"/>
    <mergeCell ref="A97:A98"/>
    <mergeCell ref="B141:B142"/>
    <mergeCell ref="A141:A142"/>
    <mergeCell ref="B162:B163"/>
    <mergeCell ref="B260:B261"/>
    <mergeCell ref="A260:A261"/>
    <mergeCell ref="B245:B246"/>
    <mergeCell ref="B127:B128"/>
    <mergeCell ref="G112:G113"/>
    <mergeCell ref="G132:G134"/>
    <mergeCell ref="E232:E233"/>
    <mergeCell ref="A402:A405"/>
    <mergeCell ref="D211:D213"/>
    <mergeCell ref="A132:A134"/>
    <mergeCell ref="A262:A263"/>
    <mergeCell ref="A241:A242"/>
    <mergeCell ref="A179:A180"/>
    <mergeCell ref="A144:A145"/>
    <mergeCell ref="B372:B374"/>
    <mergeCell ref="B402:B405"/>
    <mergeCell ref="G41:G42"/>
    <mergeCell ref="H41:H42"/>
    <mergeCell ref="H144:H145"/>
    <mergeCell ref="G97:G98"/>
    <mergeCell ref="H97:H98"/>
    <mergeCell ref="G144:G145"/>
    <mergeCell ref="G88:G89"/>
    <mergeCell ref="G48:G54"/>
    <mergeCell ref="G325:G327"/>
    <mergeCell ref="G313:G314"/>
    <mergeCell ref="G266:G267"/>
    <mergeCell ref="D232:D233"/>
    <mergeCell ref="E325:E327"/>
    <mergeCell ref="G179:G180"/>
    <mergeCell ref="G120:G123"/>
    <mergeCell ref="G455:G459"/>
    <mergeCell ref="F402:F405"/>
    <mergeCell ref="F418:F419"/>
    <mergeCell ref="E211:E213"/>
    <mergeCell ref="G240:G242"/>
    <mergeCell ref="G262:G263"/>
    <mergeCell ref="G236:G238"/>
    <mergeCell ref="G397:G405"/>
    <mergeCell ref="G340:G341"/>
    <mergeCell ref="H301:H305"/>
    <mergeCell ref="G245:G246"/>
    <mergeCell ref="G269:G270"/>
    <mergeCell ref="H313:H314"/>
    <mergeCell ref="H269:H270"/>
    <mergeCell ref="H260:H261"/>
    <mergeCell ref="G260:G261"/>
    <mergeCell ref="H309:H310"/>
    <mergeCell ref="H240:H242"/>
    <mergeCell ref="H266:H267"/>
    <mergeCell ref="I97:I98"/>
    <mergeCell ref="B97:B98"/>
    <mergeCell ref="I309:I310"/>
    <mergeCell ref="E285:E286"/>
    <mergeCell ref="B150:B151"/>
    <mergeCell ref="H245:H246"/>
    <mergeCell ref="G285:G288"/>
    <mergeCell ref="H285:H288"/>
    <mergeCell ref="A521:A524"/>
    <mergeCell ref="E458:E459"/>
    <mergeCell ref="B376:B378"/>
    <mergeCell ref="I495:I497"/>
    <mergeCell ref="E406:E409"/>
    <mergeCell ref="H406:H409"/>
    <mergeCell ref="G477:G482"/>
    <mergeCell ref="G466:G469"/>
    <mergeCell ref="H477:H482"/>
    <mergeCell ref="A477:A482"/>
    <mergeCell ref="A127:A128"/>
    <mergeCell ref="A331:A332"/>
    <mergeCell ref="A413:A415"/>
    <mergeCell ref="B353:B354"/>
    <mergeCell ref="A416:A419"/>
    <mergeCell ref="A376:A378"/>
    <mergeCell ref="B368:B369"/>
    <mergeCell ref="B387:B388"/>
    <mergeCell ref="B211:B213"/>
    <mergeCell ref="B331:B332"/>
    <mergeCell ref="G24:G26"/>
    <mergeCell ref="H24:H26"/>
    <mergeCell ref="I24:I26"/>
    <mergeCell ref="G353:G354"/>
    <mergeCell ref="H353:H354"/>
    <mergeCell ref="I353:I354"/>
    <mergeCell ref="G99:G102"/>
    <mergeCell ref="H99:H102"/>
    <mergeCell ref="I99:I102"/>
    <mergeCell ref="I88:I89"/>
    <mergeCell ref="G514:G516"/>
    <mergeCell ref="H514:H516"/>
    <mergeCell ref="I514:I516"/>
    <mergeCell ref="I434:I435"/>
    <mergeCell ref="H434:H435"/>
    <mergeCell ref="G434:G435"/>
    <mergeCell ref="G462:G463"/>
    <mergeCell ref="H495:H497"/>
    <mergeCell ref="I485:I486"/>
    <mergeCell ref="G495:G497"/>
    <mergeCell ref="B441:B442"/>
    <mergeCell ref="G441:G442"/>
    <mergeCell ref="H441:H442"/>
    <mergeCell ref="I441:I442"/>
    <mergeCell ref="H153:H154"/>
    <mergeCell ref="I153:I154"/>
    <mergeCell ref="I413:I415"/>
    <mergeCell ref="F234:F235"/>
    <mergeCell ref="F211:F213"/>
    <mergeCell ref="I361:I362"/>
    <mergeCell ref="G39:G40"/>
    <mergeCell ref="B39:B40"/>
    <mergeCell ref="H39:H40"/>
    <mergeCell ref="I39:I40"/>
    <mergeCell ref="F39:F40"/>
    <mergeCell ref="E39:E40"/>
  </mergeCells>
  <printOptions/>
  <pageMargins left="0.3937007874015748" right="0" top="0.1968503937007874" bottom="0" header="0.4724409448818898" footer="0.4330708661417323"/>
  <pageSetup fitToHeight="36" horizontalDpi="600" verticalDpi="600" orientation="landscape" paperSize="9" scale="25" r:id="rId1"/>
  <rowBreaks count="1" manualBreakCount="1">
    <brk id="69" max="12" man="1"/>
  </rowBreaks>
  <ignoredErrors>
    <ignoredError sqref="D466:D467 D46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ФИНТЕХ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FINTECH</dc:creator>
  <cp:keywords/>
  <dc:description/>
  <cp:lastModifiedBy>User</cp:lastModifiedBy>
  <cp:lastPrinted>2021-02-16T04:51:07Z</cp:lastPrinted>
  <dcterms:created xsi:type="dcterms:W3CDTF">2007-10-09T08:43:44Z</dcterms:created>
  <dcterms:modified xsi:type="dcterms:W3CDTF">2021-03-03T03:10:11Z</dcterms:modified>
  <cp:category/>
  <cp:version/>
  <cp:contentType/>
  <cp:contentStatus/>
</cp:coreProperties>
</file>